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VySIoHwc84J3PE1IQOKh8q2tPalPxtg2ZcbaOLTGmbY/JJoGWGHEPeMjh3gCcjF0IaLK5vuQRKsPoV/Zh4pOw==" workbookSaltValue="GlMbgVr2rA2UizsJuD3Q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H18" i="16"/>
  <c r="BJ19" i="11"/>
  <c r="BF28" i="11"/>
  <c r="BF18" i="11"/>
  <c r="BG20" i="11"/>
  <c r="BG22" i="11"/>
  <c r="BK29" i="11"/>
  <c r="AZ19" i="11"/>
  <c r="S14" i="16"/>
  <c r="V12" i="21"/>
  <c r="P14" i="16"/>
  <c r="F13" i="16"/>
  <c r="Z14" i="17"/>
  <c r="R30" i="17"/>
  <c r="K26" i="2"/>
  <c r="N26" i="2"/>
  <c r="M23" i="2"/>
  <c r="K30" i="2"/>
  <c r="F30" i="17"/>
  <c r="F26" i="17"/>
  <c r="F14" i="7"/>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H25" i="16"/>
  <c r="BH21" i="11"/>
  <c r="BK20" i="11"/>
  <c r="AZ25" i="11"/>
  <c r="AZ30" i="11" s="1"/>
  <c r="BJ10" i="11"/>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T31" i="8"/>
  <c r="X12" i="21"/>
  <c r="BH11" i="16"/>
  <c r="BK13" i="11"/>
  <c r="BH16" i="11"/>
  <c r="BH19" i="16"/>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10" i="16"/>
  <c r="S10" i="17"/>
  <c r="BL10" i="11"/>
  <c r="AO29" i="17"/>
  <c r="BL28" i="11"/>
  <c r="AQ10" i="21"/>
  <c r="BH10" i="11"/>
  <c r="Q18" i="17"/>
  <c r="T16" i="11"/>
  <c r="S28" i="17"/>
  <c r="BU12" i="17"/>
  <c r="V12" i="16"/>
  <c r="BU18" i="17"/>
  <c r="BV10" i="16"/>
  <c r="U10" i="17"/>
  <c r="BW16" i="20"/>
  <c r="BV16" i="16"/>
  <c r="BW12" i="20"/>
  <c r="BV12" i="16"/>
  <c r="BW18" i="20"/>
  <c r="BV18" i="16"/>
  <c r="BV19" i="16"/>
  <c r="BW20" i="20"/>
  <c r="T16" i="16"/>
  <c r="BL29" i="11"/>
  <c r="AZ9" i="11"/>
  <c r="AZ31" i="11" s="1"/>
  <c r="BG19" i="11"/>
  <c r="BL25" i="11"/>
  <c r="V20" i="11"/>
  <c r="R25" i="14"/>
  <c r="AP16" i="20"/>
  <c r="AP22" i="20"/>
  <c r="BJ16" i="11"/>
  <c r="BI19" i="11"/>
  <c r="V9" i="11"/>
  <c r="V13" i="11"/>
  <c r="BM12" i="11"/>
  <c r="BI25" i="11"/>
  <c r="V11" i="11"/>
  <c r="BK21" i="11"/>
  <c r="BL12" i="11"/>
  <c r="BF10" i="11"/>
  <c r="BF17" i="11"/>
  <c r="V25" i="11"/>
  <c r="BF21" i="11"/>
  <c r="V11" i="16"/>
  <c r="BF19" i="11"/>
  <c r="S20" i="14"/>
  <c r="V20" i="14" s="1"/>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<sst xmlns="http://schemas.openxmlformats.org/spreadsheetml/2006/main" count="2682" uniqueCount="1193">
  <si>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</si>
  <si>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</si>
  <si>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</si>
  <si>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</si>
  <si>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</si>
  <si>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</si>
  <si>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</si>
  <si>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</si>
  <si>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</si>
  <si>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</si>
  <si>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</si>
  <si>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</si>
  <si>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</si>
  <si>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</si>
  <si>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</si>
  <si>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</si>
  <si>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</si>
  <si>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</si>
  <si>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</si>
  <si>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</si>
  <si>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</si>
  <si>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</si>
  <si>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</si>
  <si>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</si>
  <si>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</si>
  <si>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</si>
  <si>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</si>
  <si>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</si>
  <si>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</si>
  <si>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</si>
  <si>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</si>
  <si>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</si>
  <si>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</si>
  <si>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</si>
  <si>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</si>
  <si>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</si>
  <si>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</si>
  <si>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</si>
  <si>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</si>
  <si>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</si>
  <si>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</si>
  <si>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</si>
  <si>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</si>
  <si>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</si>
  <si>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</si>
  <si>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</si>
  <si>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</si>
  <si>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</si>
  <si>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</si>
  <si>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</si>
  <si>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</si>
  <si>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</si>
  <si>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</si>
  <si>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</si>
  <si>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</si>
  <si>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</si>
  <si>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</si>
  <si>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</si>
  <si>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</si>
  <si>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</si>
  <si>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</si>
  <si>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</si>
  <si>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</si>
  <si>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</si>
  <si>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</si>
  <si>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</si>
  <si>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</si>
  <si>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</si>
  <si>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</si>
  <si>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</si>
  <si>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</si>
  <si>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</si>
  <si>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</si>
  <si>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</si>
  <si>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</si>
  <si>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</si>
  <si>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</si>
  <si>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</si>
  <si>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</si>
  <si>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</si>
  <si>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</si>
  <si>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</si>
  <si>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</si>
  <si>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</si>
  <si>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</si>
  <si>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</si>
  <si>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</si>
  <si>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</si>
  <si>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</si>
  <si>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</si>
  <si>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</si>
  <si>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</si>
  <si>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</si>
  <si>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</si>
  <si>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</si>
  <si>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</si>
  <si>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</si>
  <si>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</si>
  <si>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</si>
  <si>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</si>
  <si>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</si>
  <si>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</si>
  <si>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</si>
  <si>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</si>
  <si>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</si>
  <si>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</si>
  <si>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</si>
  <si>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</si>
  <si>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</si>
  <si>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</si>
  <si>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</si>
  <si>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</si>
  <si>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</si>
  <si>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</si>
  <si>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</si>
  <si>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</si>
  <si>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</si>
  <si>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</si>
  <si>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</si>
  <si>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</si>
  <si>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</si>
  <si>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</si>
  <si>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</si>
  <si>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</si>
  <si>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</si>
  <si>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</si>
  <si>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</si>
  <si>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</si>
  <si>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</si>
  <si>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</si>
  <si>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</si>
  <si>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</si>
  <si>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</si>
  <si>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</si>
  <si>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</si>
  <si>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</si>
  <si>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</si>
  <si>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</si>
  <si>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</si>
  <si>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</si>
  <si>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</si>
  <si>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</si>
  <si>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</si>
  <si>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</si>
  <si>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</si>
  <si>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</si>
  <si>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</si>
  <si>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</si>
  <si>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</si>
  <si>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</si>
  <si>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</si>
  <si>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</si>
  <si>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</si>
  <si>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</si>
  <si>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</si>
  <si>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</si>
  <si>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</si>
  <si>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</si>
  <si>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</si>
  <si>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</si>
  <si>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</si>
  <si>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</si>
  <si>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</si>
  <si>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</si>
  <si>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</si>
  <si>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</si>
  <si>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</si>
  <si>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</si>
  <si>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</si>
  <si>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</si>
  <si>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</si>
  <si>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</si>
  <si>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</si>
  <si>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</si>
  <si>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</si>
  <si>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</si>
  <si>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</si>
  <si>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</si>
  <si>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</si>
  <si>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</si>
  <si>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</si>
  <si>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</si>
  <si>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</si>
  <si>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</si>
  <si>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</si>
  <si>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</si>
  <si>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</si>
  <si>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</si>
  <si>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</si>
  <si>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</si>
  <si>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</si>
  <si>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</si>
  <si>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</si>
  <si>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</si>
  <si>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</si>
  <si>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</si>
  <si>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</si>
  <si>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</si>
  <si>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</si>
  <si>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</si>
  <si>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</si>
  <si>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</si>
  <si>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</si>
  <si>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</si>
  <si>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</si>
  <si>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</si>
  <si>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</si>
  <si>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</si>
  <si>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</si>
  <si>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</si>
  <si>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</si>
  <si>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</si>
  <si>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</si>
  <si>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</si>
  <si>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</si>
  <si>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</si>
  <si>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</si>
  <si>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</si>
  <si>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</si>
  <si>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</si>
  <si>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</si>
  <si>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</si>
  <si>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</si>
  <si>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</si>
  <si>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</si>
  <si>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</si>
  <si>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</si>
  <si>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</si>
  <si>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</si>
  <si>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</si>
  <si>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</si>
  <si>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</si>
  <si>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</si>
  <si>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</si>
  <si>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</si>
  <si>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</si>
  <si>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</si>
  <si>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</si>
  <si>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</si>
  <si>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</si>
  <si>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</si>
  <si>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</si>
  <si>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</si>
  <si>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</si>
  <si>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</si>
  <si>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</si>
  <si>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</si>
  <si>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</si>
  <si>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</si>
  <si>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</si>
  <si>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</si>
  <si>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</si>
  <si>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</si>
  <si>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</si>
  <si>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</si>
  <si>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</si>
  <si>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</si>
  <si>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</si>
  <si>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</si>
  <si>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</si>
  <si>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</si>
  <si>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</si>
  <si>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</si>
  <si>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</si>
  <si>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</si>
  <si>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</si>
  <si>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</si>
  <si>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</si>
  <si>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</si>
  <si>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</si>
  <si>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</si>
  <si>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</si>
  <si>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</si>
  <si>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</si>
  <si>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</si>
  <si>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</si>
  <si>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</si>
  <si>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</si>
  <si>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</si>
  <si>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</si>
  <si>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</si>
  <si>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</si>
  <si>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</si>
  <si>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</si>
  <si>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</si>
  <si>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</si>
  <si>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</si>
  <si>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</si>
  <si>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</si>
  <si>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</si>
  <si>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</si>
  <si>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</si>
  <si>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</si>
  <si>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</si>
  <si>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</si>
  <si>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</si>
  <si>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</si>
  <si>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</si>
  <si>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</si>
  <si>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</si>
  <si>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</si>
  <si>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</si>
  <si>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</si>
  <si>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</si>
  <si>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</si>
  <si>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</si>
  <si>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</si>
  <si>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</si>
  <si>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</si>
  <si>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</si>
  <si>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</si>
  <si>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</si>
  <si>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</si>
  <si>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</si>
  <si>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</si>
  <si>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</si>
  <si>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</si>
  <si>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</si>
  <si>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</si>
  <si>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</si>
  <si>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</si>
  <si>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</si>
  <si>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</si>
  <si>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</si>
  <si>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</si>
  <si>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</si>
  <si>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</si>
  <si>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</si>
  <si>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</si>
  <si>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</si>
  <si>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</si>
  <si>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</si>
  <si>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</si>
  <si>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</si>
  <si>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</si>
  <si>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</si>
  <si>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</si>
  <si>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</si>
  <si>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</si>
  <si>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</si>
  <si>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</si>
  <si>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</si>
  <si>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</si>
  <si>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</si>
  <si>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</si>
  <si>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</si>
  <si>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</si>
  <si>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</si>
  <si>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</si>
  <si>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</si>
  <si>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</si>
  <si>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</si>
  <si>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</si>
  <si>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</si>
  <si>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</si>
  <si>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</si>
  <si>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</si>
  <si>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</si>
  <si>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</si>
  <si>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</si>
  <si>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</si>
  <si>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</si>
  <si>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</si>
  <si>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</si>
  <si>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</si>
  <si>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</si>
  <si>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</si>
  <si>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</si>
  <si>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</si>
  <si>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</si>
  <si>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</si>
  <si>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</si>
  <si>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</si>
  <si>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</si>
  <si>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</si>
  <si>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</si>
  <si>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</si>
  <si>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</si>
  <si>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</si>
  <si>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</si>
  <si>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</si>
  <si>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</si>
  <si>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</si>
  <si>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</si>
  <si>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</si>
  <si>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</si>
  <si>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</si>
  <si>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</si>
  <si>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</si>
  <si>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</si>
  <si>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</si>
  <si>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</si>
  <si>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</si>
  <si>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</si>
  <si>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</si>
  <si>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</si>
  <si>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</si>
  <si>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</si>
  <si>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</si>
  <si>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</si>
  <si>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</si>
  <si>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</si>
  <si>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</si>
  <si>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</si>
  <si>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</si>
  <si>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</si>
  <si>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</si>
  <si>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</si>
  <si>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</si>
  <si>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</si>
  <si>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</si>
  <si>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</si>
  <si>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</si>
  <si>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</si>
  <si>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</si>
  <si>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</si>
  <si>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</si>
  <si>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</si>
  <si>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</si>
  <si>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</si>
  <si>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</si>
  <si>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</si>
  <si>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</si>
  <si>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</si>
  <si>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</si>
  <si>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</si>
  <si>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</si>
  <si>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</si>
  <si>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</si>
  <si>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</si>
  <si>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</si>
  <si>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</si>
  <si>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</si>
  <si>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</si>
  <si>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</si>
  <si>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</si>
  <si>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</si>
  <si>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</si>
  <si>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</si>
  <si>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</si>
  <si>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</si>
  <si>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</si>
  <si>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</si>
  <si>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</si>
  <si>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</si>
  <si>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</si>
  <si>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</si>
  <si>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</si>
  <si>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</si>
  <si>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</si>
  <si>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</si>
  <si>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</si>
  <si>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</si>
  <si>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</si>
  <si>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</si>
  <si>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</si>
  <si>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</si>
  <si>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</si>
  <si>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</si>
  <si>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</si>
  <si>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</si>
  <si>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</si>
  <si>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</si>
  <si>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</si>
  <si>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</si>
  <si>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</si>
  <si>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</si>
  <si>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</si>
  <si>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</si>
  <si>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</si>
  <si>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</si>
  <si>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</si>
  <si>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</si>
  <si>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</si>
  <si>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</si>
  <si>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</si>
  <si>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</si>
  <si>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</si>
  <si>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</si>
  <si>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</si>
  <si>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</si>
  <si>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</si>
  <si>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</si>
  <si>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</si>
  <si>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</si>
  <si>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</si>
  <si>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</si>
  <si>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</si>
  <si>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</si>
  <si>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</si>
  <si>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</si>
  <si>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</si>
  <si>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</si>
  <si>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</si>
  <si>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</si>
  <si>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</si>
  <si>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</si>
  <si>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</si>
  <si>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</si>
  <si>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</si>
  <si>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</si>
  <si>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</si>
  <si>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</si>
  <si>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</si>
  <si>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</si>
  <si>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</si>
  <si>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</si>
  <si>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</si>
  <si>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</si>
  <si>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</si>
  <si>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</si>
  <si>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</si>
  <si>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</si>
  <si>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</si>
  <si>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</si>
  <si>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</si>
  <si>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</si>
  <si>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</si>
  <si>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</si>
  <si>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</si>
  <si>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</si>
  <si>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</si>
  <si>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</si>
  <si>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</si>
  <si>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</si>
  <si>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</si>
  <si>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</si>
  <si>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</si>
  <si>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</si>
  <si>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</si>
  <si>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</si>
  <si>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</si>
  <si>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</si>
  <si>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</si>
  <si>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</si>
  <si>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</si>
  <si>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</si>
  <si>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</si>
  <si>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</si>
  <si>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</si>
  <si>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</si>
  <si>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</si>
  <si>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</si>
  <si>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</si>
  <si>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</si>
  <si>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</si>
  <si>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</si>
  <si>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</si>
  <si>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</si>
  <si>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</si>
  <si>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</si>
  <si>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</si>
  <si>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</si>
  <si>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</si>
  <si>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</si>
  <si>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</si>
  <si>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</si>
  <si>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</si>
  <si>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</si>
  <si>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</si>
  <si>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</si>
  <si>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</si>
  <si>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</si>
  <si>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</si>
  <si>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</si>
  <si>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</si>
  <si>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</si>
  <si>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</si>
  <si>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</si>
  <si>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</si>
  <si>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</si>
  <si>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</si>
  <si>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</si>
  <si>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</si>
  <si>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</si>
  <si>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</si>
  <si>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</si>
  <si>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</si>
  <si>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</si>
  <si>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</si>
  <si>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</si>
  <si>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</si>
  <si>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</si>
  <si>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</si>
  <si>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</si>
  <si>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</si>
  <si>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</si>
  <si>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</si>
  <si>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</si>
  <si>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</si>
  <si>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</si>
  <si>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</si>
  <si>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</si>
  <si>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</si>
  <si>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</si>
  <si>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</si>
  <si>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</si>
  <si>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</si>
  <si>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</si>
  <si>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</si>
  <si>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</si>
  <si>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</si>
  <si>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</si>
  <si>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</si>
  <si>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</si>
  <si>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</si>
  <si>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</si>
  <si>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</si>
  <si>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</si>
  <si>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</si>
  <si>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</si>
  <si>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</si>
  <si>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</si>
  <si>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</si>
  <si>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</si>
  <si>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</si>
  <si>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</si>
  <si>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</si>
  <si>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</si>
  <si>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</si>
  <si>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</si>
  <si>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</si>
  <si>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</si>
  <si>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</si>
  <si>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</si>
  <si>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</si>
  <si>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</si>
  <si>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</si>
  <si>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</si>
  <si>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</si>
  <si>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</si>
  <si>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</si>
  <si>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</si>
  <si>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</si>
  <si>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</si>
  <si>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</si>
  <si>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</si>
  <si>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</si>
  <si>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</si>
  <si>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</si>
  <si>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</si>
  <si>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</si>
  <si>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</si>
  <si>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</si>
  <si>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</si>
  <si>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</si>
  <si>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</si>
  <si>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</si>
  <si>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</si>
  <si>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</si>
  <si>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</si>
  <si>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</si>
  <si>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</si>
  <si>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</si>
  <si>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</si>
  <si>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</si>
  <si>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</si>
  <si>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</si>
  <si>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</si>
  <si>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</si>
  <si>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</si>
  <si>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</si>
  <si>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</si>
  <si>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</si>
  <si>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</si>
  <si>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</si>
  <si>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</si>
  <si>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</si>
  <si>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</si>
  <si>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</si>
  <si>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</si>
  <si>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</si>
  <si>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</si>
  <si>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</si>
  <si>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</si>
  <si>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</si>
  <si>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</si>
  <si>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</si>
  <si>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</si>
  <si>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</si>
  <si>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</si>
  <si>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</si>
  <si>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</si>
  <si>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</si>
  <si>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</si>
  <si>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</si>
  <si>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</si>
  <si>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</si>
  <si>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</si>
  <si>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</si>
  <si>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</si>
  <si>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</si>
  <si>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</si>
  <si>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</si>
  <si>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</si>
  <si>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</si>
  <si>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</si>
  <si>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</si>
  <si>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</si>
  <si>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</si>
  <si>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</si>
  <si>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</si>
  <si>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</si>
  <si>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</si>
  <si>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</si>
  <si>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</si>
  <si>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</si>
  <si>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</si>
  <si>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</si>
  <si>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</si>
  <si>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</si>
  <si>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</si>
  <si>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</si>
  <si>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</si>
  <si>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</si>
  <si>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</si>
  <si>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</si>
  <si>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</si>
  <si>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</si>
  <si>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</si>
  <si>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</si>
  <si>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</si>
  <si>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</si>
  <si>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</si>
  <si>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</si>
  <si>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</si>
  <si>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</si>
  <si>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</si>
  <si>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</si>
  <si>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</si>
  <si>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</si>
  <si>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</si>
  <si>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</si>
  <si>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</si>
  <si>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</si>
  <si>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</si>
  <si>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</si>
  <si>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</si>
  <si>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</si>
  <si>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</si>
  <si>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</si>
  <si>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</si>
  <si>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</si>
  <si>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</si>
  <si>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</si>
  <si>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</si>
  <si>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</si>
  <si>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</si>
  <si>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</si>
  <si>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</si>
  <si>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</si>
  <si>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</si>
  <si>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</si>
  <si>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</si>
  <si>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</si>
  <si>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</si>
  <si>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</si>
  <si>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</si>
  <si>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</si>
  <si>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</si>
  <si>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</si>
  <si>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</si>
  <si>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</si>
  <si>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</si>
  <si>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</si>
  <si>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</si>
  <si>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</si>
  <si>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</si>
  <si>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</si>
  <si>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</si>
  <si>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</si>
  <si>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</si>
  <si>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</si>
  <si>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</si>
  <si>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</si>
  <si>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</si>
  <si>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</si>
  <si>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</si>
  <si>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</si>
  <si>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</si>
  <si>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</si>
  <si>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</si>
  <si>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</si>
  <si>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</si>
  <si>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</si>
  <si>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</si>
  <si>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</si>
  <si>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</si>
  <si>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</si>
  <si>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</si>
  <si>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</si>
  <si>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</si>
  <si>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</si>
  <si>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</si>
  <si>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</si>
  <si>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</si>
  <si>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</si>
  <si>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</si>
  <si>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</si>
  <si>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</si>
  <si>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</si>
  <si>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</si>
  <si>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</si>
  <si>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</si>
  <si>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</si>
  <si>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</si>
  <si>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</si>
  <si>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</si>
  <si>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</si>
  <si>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</si>
  <si>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</si>
  <si>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</si>
  <si>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</si>
  <si>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</si>
  <si>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</si>
  <si>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</si>
  <si>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</si>
  <si>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</si>
  <si>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</si>
  <si>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</si>
  <si>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</si>
  <si>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</si>
  <si>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</si>
  <si>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</si>
  <si>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</si>
  <si>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</si>
  <si>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</si>
  <si>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</si>
  <si>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</si>
  <si>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</si>
  <si>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</si>
  <si>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</si>
  <si>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</si>
  <si>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</si>
  <si>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</si>
  <si>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</si>
  <si>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</si>
  <si>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</si>
  <si>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</si>
  <si>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</si>
  <si>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</si>
  <si>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</si>
  <si>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</si>
  <si>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</si>
  <si>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</si>
  <si>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</si>
  <si>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</si>
  <si>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</si>
  <si>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</si>
  <si>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</si>
  <si>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</si>
  <si>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</si>
  <si>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</si>
  <si>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</si>
  <si>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</si>
  <si>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</si>
  <si>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</si>
  <si>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</si>
  <si>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</si>
  <si>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</si>
  <si>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</si>
  <si>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</si>
  <si>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</si>
  <si>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</si>
  <si>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</si>
  <si>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</si>
  <si>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</si>
  <si>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</si>
  <si>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</si>
  <si>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</si>
  <si>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</si>
  <si>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</si>
  <si>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</si>
  <si>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</si>
  <si>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</si>
  <si>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</si>
  <si>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</si>
  <si>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</si>
  <si>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</si>
  <si>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</si>
  <si>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</si>
  <si>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</si>
  <si>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</si>
  <si>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</si>
  <si>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</si>
  <si>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</si>
  <si>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</si>
  <si>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</si>
  <si>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</si>
  <si>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</si>
  <si>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</si>
  <si>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</si>
  <si>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</si>
  <si>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</si>
  <si>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</si>
  <si>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</si>
  <si>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</si>
  <si>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</si>
  <si>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</si>
  <si>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</si>
  <si>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</si>
  <si>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</si>
  <si>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</si>
  <si>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</si>
  <si>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</si>
  <si>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</si>
  <si>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</si>
  <si>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</si>
  <si>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</si>
  <si>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</si>
  <si>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</si>
  <si>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</si>
  <si>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</si>
  <si>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</si>
  <si>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</si>
  <si>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</si>
  <si>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</si>
  <si>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</si>
  <si>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</si>
  <si>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</si>
  <si>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</si>
  <si>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</si>
  <si>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</si>
  <si>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</si>
  <si>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</si>
  <si>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</si>
  <si>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</si>
  <si>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</si>
  <si>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</si>
  <si>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</si>
  <si>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</si>
  <si>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</si>
  <si>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</si>
  <si>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</si>
  <si>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</si>
  <si>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</si>
  <si>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</si>
  <si>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</si>
  <si>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</si>
  <si>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</si>
  <si>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</si>
  <si>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</si>
  <si>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</si>
  <si>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</si>
  <si>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</si>
  <si>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</si>
  <si>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</si>
  <si>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</si>
  <si>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</si>
  <si>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</si>
  <si>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</si>
  <si>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</si>
  <si>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</si>
  <si>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</si>
  <si>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</si>
  <si>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</si>
  <si>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</si>
  <si>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</si>
  <si>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</si>
  <si>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</si>
  <si>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</si>
  <si>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</si>
  <si>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</si>
  <si>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</si>
  <si>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</si>
  <si>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</si>
  <si>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</si>
  <si>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</si>
  <si>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</si>
  <si>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</si>
  <si>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</si>
  <si>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</si>
  <si>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</si>
  <si>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</si>
  <si>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</si>
  <si>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</si>
  <si>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</si>
  <si>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</si>
  <si>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</si>
  <si>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</si>
  <si>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</si>
  <si>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</si>
  <si>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</si>
  <si>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</si>
  <si>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</si>
  <si>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</si>
  <si>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</si>
  <si>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</si>
  <si>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</si>
  <si>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</si>
  <si>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</si>
  <si>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</si>
  <si>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</si>
  <si>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</si>
  <si>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</si>
  <si>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</si>
  <si>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</si>
  <si>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</si>
  <si>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</si>
  <si>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</si>
  <si>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</si>
  <si>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</si>
  <si>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</si>
  <si>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</si>
  <si>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</si>
  <si>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</si>
  <si>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</si>
  <si>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</si>
  <si>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</si>
  <si>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</si>
  <si>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</si>
  <si>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</si>
  <si>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</si>
  <si>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</si>
  <si>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</si>
  <si>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</si>
  <si>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</si>
  <si>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</si>
  <si>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</si>
  <si>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</si>
  <si>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</si>
  <si>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</si>
  <si>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</si>
  <si>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</si>
  <si>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</si>
  <si>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</si>
  <si>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</si>
  <si>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</si>
  <si>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</si>
  <si>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</si>
  <si>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</si>
  <si>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</si>
  <si>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</si>
  <si>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</si>
  <si>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</si>
  <si>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</si>
  <si>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</si>
  <si>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</si>
  <si>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</si>
  <si>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</si>
  <si>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</si>
  <si>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</si>
  <si>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</si>
  <si>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</si>
  <si>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</si>
  <si>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</si>
  <si>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</si>
  <si>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</si>
  <si>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</si>
  <si>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</si>
  <si>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</si>
  <si>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</si>
  <si>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</si>
  <si>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</si>
  <si>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</si>
  <si>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</si>
  <si>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</si>
  <si>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</si>
  <si>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</si>
  <si>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</si>
  <si>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</si>
  <si>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</si>
  <si>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</si>
  <si>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</si>
  <si>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</si>
  <si>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</si>
  <si>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</si>
  <si>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</si>
  <si>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</si>
  <si>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</si>
  <si>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</si>
  <si>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</si>
  <si>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</si>
  <si>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</si>
  <si>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</si>
  <si>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</si>
  <si>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</si>
  <si>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</si>
  <si>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</si>
  <si>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</si>
  <si>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</si>
  <si>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</si>
  <si>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</si>
  <si>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</si>
  <si>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</si>
  <si>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</si>
  <si>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</si>
  <si>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</si>
  <si>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</si>
  <si>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</si>
  <si>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</si>
  <si>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</si>
  <si>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</si>
  <si>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</si>
  <si>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</si>
  <si>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</si>
  <si>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</si>
  <si>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</si>
  <si>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</si>
  <si>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</si>
  <si>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</si>
  <si>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</si>
  <si>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</si>
  <si>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</si>
  <si>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</si>
  <si>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</si>
  <si>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</si>
  <si>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</si>
  <si>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</si>
  <si>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</si>
  <si>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</si>
  <si>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</si>
  <si>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</si>
  <si>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</si>
  <si>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</si>
  <si>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</si>
  <si>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</si>
  <si>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</si>
  <si>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</si>
  <si>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</si>
  <si>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</si>
  <si>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</si>
  <si>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</si>
  <si>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</si>
  <si>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</si>
  <si>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</si>
  <si>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</si>
  <si>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</si>
  <si>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</si>
  <si>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</si>
  <si>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</si>
  <si>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</si>
  <si>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</si>
  <si>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</si>
  <si>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</si>
  <si>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</si>
  <si>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</si>
  <si>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</si>
  <si>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</si>
  <si>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</si>
  <si>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</si>
  <si>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</si>
  <si>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</si>
  <si>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</si>
  <si>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</si>
  <si>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</si>
  <si>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</si>
  <si>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</si>
  <si>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</si>
  <si>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</si>
  <si>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</si>
  <si>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</si>
  <si>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</si>
  <si>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</si>
  <si>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</si>
  <si>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</si>
  <si>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</si>
  <si>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</si>
  <si>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</si>
  <si>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</si>
  <si>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</si>
  <si>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</si>
  <si>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</si>
  <si>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</si>
  <si>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</si>
  <si>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</si>
  <si>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</si>
  <si>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</si>
  <si>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</si>
  <si>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</si>
  <si>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</si>
  <si>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</si>
  <si>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</si>
  <si>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</si>
  <si>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</si>
  <si>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</si>
  <si>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</si>
  <si>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</si>
  <si>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</si>
  <si>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</si>
  <si>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</si>
  <si>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</si>
  <si>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</si>
  <si>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</si>
  <si>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</si>
  <si>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</si>
  <si>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</si>
  <si>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</si>
  <si>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</si>
  <si>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</si>
  <si>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</si>
  <si>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</si>
  <si>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MARTORELL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</si>
</sst>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VeZwOJbS2WNba+NfP1ad0CuSvl9tTH6XmpMrrTHlt9hq0mFKa1d7kr2ZCyPgYQWukPIAo80P0GExi6IGsU/0w==" saltValue="41Pb7a4X88914gRBiphX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103</v>
      </c>
      <c r="D10" s="239">
        <f>IF(ISNUMBER(Datos!I10),Datos!I10," - ")</f>
        <v>103</v>
      </c>
      <c r="E10" s="240">
        <f>IF(ISNUMBER(Datos!J10),Datos!J10," - ")</f>
        <v>15</v>
      </c>
      <c r="F10" s="240">
        <f>IF(ISNUMBER(Datos!K10),Datos!K10," - ")</f>
        <v>13</v>
      </c>
      <c r="G10" s="1390" t="str">
        <f>IF(Datos!E10&lt;&gt;"",Datos!E10,Datos!D10)</f>
        <v>37</v>
      </c>
      <c r="H10" s="241">
        <f>IF(ISNUMBER(Datos!L10),Datos!L10," - ")</f>
        <v>105</v>
      </c>
      <c r="I10" s="1400" t="str">
        <f>IF(ISNUMBER(Datos!AS10/Datos!BM10),Datos!AS10/Datos!BM10," - ")</f>
        <v xml:space="preserve"> - </v>
      </c>
      <c r="J10" s="1401">
        <f>IF(ISNUMBER(Datos!BY10/Datos!CN10),Datos!BY10/Datos!CN10," - ")</f>
        <v>0</v>
      </c>
      <c r="K10" s="244">
        <f t="shared" ref="K10:K13" si="1">IF(ISNUMBER((E10-F10)/C10),(E10-F10)/C10," - ")</f>
        <v>1.9417475728155338E-2</v>
      </c>
      <c r="L10" s="1402">
        <f>IF(ISNUMBER(NºAsuntos!I10/NºAsuntos!G10),(NºAsuntos!I10/NºAsuntos!G10)*11," - ")</f>
        <v>88.84615384615384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38.609937178754997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103</v>
      </c>
      <c r="D14" s="1407">
        <f>SUBTOTAL(9,D9:D13)</f>
        <v>103</v>
      </c>
      <c r="E14" s="1408">
        <f>SUBTOTAL(9,E9:E13)</f>
        <v>15</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1504</v>
      </c>
      <c r="D17" s="239">
        <f>IF(ISNUMBER(IF(D_I="SI",Datos!I17,Datos!I17+Datos!AC17)),IF(D_I="SI",Datos!I17,Datos!I17+Datos!AC17)," - ")</f>
        <v>1483</v>
      </c>
      <c r="E17" s="240">
        <f>IF(ISNUMBER(IF(D_I="SI",Datos!J17,Datos!J17+Datos!AD17)),IF(D_I="SI",Datos!J17,Datos!J17+Datos!AD17)," - ")</f>
        <v>1645</v>
      </c>
      <c r="F17" s="240">
        <f>IF(ISNUMBER(IF(D_I="SI",Datos!K17,Datos!K17+Datos!AE17)),IF(D_I="SI",Datos!K17,Datos!K17+Datos!AE17)," - ")</f>
        <v>1800</v>
      </c>
      <c r="G17" s="1390" t="str">
        <f>IF(Datos!E17&lt;&gt;"",Datos!E17,Datos!D17)</f>
        <v>04</v>
      </c>
      <c r="H17" s="241">
        <f>IF(ISNUMBER(IF(D_I="SI",Datos!L17,Datos!L17+Datos!AF17)),IF(D_I="SI",Datos!L17,Datos!L17+Datos!AF17)," - ")</f>
        <v>1349</v>
      </c>
      <c r="I17" s="1400" t="str">
        <f>IF(ISNUMBER(Datos!AS17/Datos!BM17),Datos!AS17/Datos!BM17," - ")</f>
        <v xml:space="preserve"> - </v>
      </c>
      <c r="J17" s="1401">
        <f>IF(ISNUMBER(Datos!BY17/Datos!CN17),Datos!BY17/Datos!CN17," - ")</f>
        <v>0</v>
      </c>
      <c r="K17" s="244">
        <f t="shared" si="3"/>
        <v>-0.10305851063829788</v>
      </c>
      <c r="L17" s="1402">
        <f>IF(ISNUMBER(NºAsuntos!I17/NºAsuntos!G17),(NºAsuntos!I17/NºAsuntos!G17)*11," - ")</f>
        <v>8.2438888888888897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222</v>
      </c>
      <c r="D18" s="239">
        <f>IF(ISNUMBER(IF(D_I="SI",Datos!I18,Datos!I18+Datos!AC18)),IF(D_I="SI",Datos!I18,Datos!I18+Datos!AC18)," - ")</f>
        <v>222</v>
      </c>
      <c r="E18" s="240">
        <f>IF(ISNUMBER(IF(D_I="SI",Datos!J18,Datos!J18+Datos!AD18)),IF(D_I="SI",Datos!J18,Datos!J18+Datos!AD18)," - ")</f>
        <v>112</v>
      </c>
      <c r="F18" s="240">
        <f>IF(ISNUMBER(IF(D_I="SI",Datos!K18,Datos!K18+Datos!AE18)),IF(D_I="SI",Datos!K18,Datos!K18+Datos!AE18)," - ")</f>
        <v>113</v>
      </c>
      <c r="G18" s="1390" t="str">
        <f>IF(Datos!E18&lt;&gt;"",Datos!E18,Datos!D18)</f>
        <v>37</v>
      </c>
      <c r="H18" s="241">
        <f>IF(ISNUMBER(IF(D_I="SI",Datos!L18,Datos!L18+Datos!AF18)),IF(D_I="SI",Datos!L18,Datos!L18+Datos!AF18)," - ")</f>
        <v>221</v>
      </c>
      <c r="I18" s="1400" t="str">
        <f>IF(ISNUMBER(Datos!AS18/Datos!BM18),Datos!AS18/Datos!BM18," - ")</f>
        <v xml:space="preserve"> - </v>
      </c>
      <c r="J18" s="1401" t="str">
        <f>IF(ISNUMBER((Datos!BY18+Datos!BZ18)/Datos!CN18),(Datos!BY18+Datos!BZ18)/Datos!CN18," - ")</f>
        <v xml:space="preserve"> - </v>
      </c>
      <c r="K18" s="244">
        <f t="shared" si="3"/>
        <v>-4.5045045045045045E-3</v>
      </c>
      <c r="L18" s="1402">
        <f>IF(ISNUMBER(NºAsuntos!I18/NºAsuntos!G18),(NºAsuntos!I18/NºAsuntos!G18)*11," - ")</f>
        <v>21.513274336283185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1726</v>
      </c>
      <c r="D23" s="1407">
        <f>SUBTOTAL(9,D16:D22)</f>
        <v>1705</v>
      </c>
      <c r="E23" s="1408">
        <f>SUBTOTAL(9,E16:E22)</f>
        <v>1757</v>
      </c>
      <c r="F23" s="1408">
        <f>SUBTOTAL(9,F16:F22)</f>
        <v>1913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1829</v>
      </c>
      <c r="D31" s="1435">
        <f>SUBTOTAL(9,D9:D30)</f>
        <v>1808</v>
      </c>
      <c r="E31" s="1436">
        <f>SUBTOTAL(9,E9:E30)</f>
        <v>1772</v>
      </c>
      <c r="F31" s="1436">
        <f>SUBTOTAL(9,F9:F30)</f>
        <v>1926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amVmMyGJjdeubZpNsBQeFKGP9TIGKXsVyaOniO5BF2kmIMWarMlq47IQVNtJ13P9kM+xA3NpRJn2xAXvC5PQ==" saltValue="/Tb4eSektHUH/HtqXPOP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LklBk5L8DoaOYTiHqqlXASvf1nVUwdRyFLPvFd6mngNG3vuK4YmBkq/a1rsG5129YSYzzEQ1js5wkgyStPt2A==" saltValue="EIdBvA35VWptqtm/pEgh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103</v>
      </c>
      <c r="J10" s="194">
        <v>15</v>
      </c>
      <c r="K10" s="194">
        <v>13</v>
      </c>
      <c r="L10" s="194">
        <v>105</v>
      </c>
      <c r="M10" s="194">
        <v>4</v>
      </c>
      <c r="N10" s="194">
        <v>8</v>
      </c>
      <c r="O10" s="194">
        <v>1</v>
      </c>
      <c r="P10" s="194">
        <v>4</v>
      </c>
      <c r="Q10" s="194">
        <v>0</v>
      </c>
      <c r="R10" s="194">
        <v>68</v>
      </c>
      <c r="S10" s="194">
        <v>66</v>
      </c>
      <c r="T10" s="194">
        <v>17</v>
      </c>
      <c r="U10" s="194">
        <v>8</v>
      </c>
      <c r="V10" s="194">
        <v>75</v>
      </c>
      <c r="W10" s="194">
        <v>5</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66</v>
      </c>
      <c r="AZ10" s="139">
        <f t="shared" si="0"/>
        <v>17</v>
      </c>
      <c r="BA10" s="139">
        <f t="shared" si="0"/>
        <v>8</v>
      </c>
      <c r="BB10" s="139">
        <f t="shared" si="0"/>
        <v>75</v>
      </c>
      <c r="BC10" s="135">
        <f t="shared" si="0"/>
        <v>5</v>
      </c>
      <c r="BD10" s="136">
        <f>IF(ISNUMBER(BA10/AZ10),BA10/AZ10," - ")</f>
        <v>0.47058823529411764</v>
      </c>
      <c r="BE10" s="137">
        <f>IF(ISNUMBER(BB10/BA10),BB10/BA10, " - ")</f>
        <v>9.375</v>
      </c>
      <c r="BF10" s="137">
        <f>IF(ISNUMBER(BC10/BA10),BC10/BA10, " - ")</f>
        <v>0.625</v>
      </c>
      <c r="BG10" s="209">
        <f>IF(ISNUMBER((AY10+AZ10)/BA10),(AY10+AZ10)/BA10," - ")</f>
        <v>10.375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5617</v>
      </c>
      <c r="J12" s="196">
        <v>1827</v>
      </c>
      <c r="K12" s="196">
        <v>1573</v>
      </c>
      <c r="L12" s="196">
        <v>5938</v>
      </c>
      <c r="M12" s="196">
        <v>296</v>
      </c>
      <c r="N12" s="196">
        <v>790</v>
      </c>
      <c r="O12" s="194">
        <v>677</v>
      </c>
      <c r="P12" s="196">
        <v>364</v>
      </c>
      <c r="Q12" s="196">
        <v>263</v>
      </c>
      <c r="R12" s="196">
        <v>7723</v>
      </c>
      <c r="S12" s="196">
        <v>5133</v>
      </c>
      <c r="T12" s="196">
        <v>1555</v>
      </c>
      <c r="U12" s="196">
        <v>1361</v>
      </c>
      <c r="V12" s="196">
        <v>5327</v>
      </c>
      <c r="W12" s="196">
        <v>331</v>
      </c>
      <c r="X12" s="202">
        <v>775</v>
      </c>
      <c r="Y12" s="204">
        <v>182</v>
      </c>
      <c r="Z12" s="194">
        <v>206</v>
      </c>
      <c r="AA12" s="194">
        <v>178</v>
      </c>
      <c r="AB12" s="194">
        <v>208</v>
      </c>
      <c r="AC12" s="196">
        <v>0</v>
      </c>
      <c r="AD12" s="196">
        <v>0</v>
      </c>
      <c r="AE12" s="196">
        <v>0</v>
      </c>
      <c r="AF12" s="202">
        <v>0</v>
      </c>
      <c r="AG12" s="215">
        <v>184</v>
      </c>
      <c r="AH12" s="196">
        <v>220</v>
      </c>
      <c r="AI12" s="196">
        <v>220</v>
      </c>
      <c r="AJ12" s="216">
        <v>184</v>
      </c>
      <c r="AK12" s="195">
        <v>0</v>
      </c>
      <c r="AL12" s="196">
        <v>0</v>
      </c>
      <c r="AM12" s="196">
        <v>0</v>
      </c>
      <c r="AN12" s="202">
        <v>0</v>
      </c>
      <c r="AO12" s="283">
        <v>7</v>
      </c>
      <c r="AP12" s="168">
        <v>7</v>
      </c>
      <c r="AQ12" s="168">
        <v>7</v>
      </c>
      <c r="AR12" s="167">
        <v>7</v>
      </c>
      <c r="AS12" s="381" t="s">
        <v>1075</v>
      </c>
      <c r="AT12" s="216"/>
      <c r="AU12" s="215"/>
      <c r="AV12" s="216"/>
      <c r="AW12" s="215"/>
      <c r="AX12" s="216"/>
      <c r="AY12" s="136">
        <f t="shared" si="1"/>
        <v>5317</v>
      </c>
      <c r="AZ12" s="137">
        <f t="shared" si="1"/>
        <v>1775</v>
      </c>
      <c r="BA12" s="137">
        <f t="shared" si="1"/>
        <v>1581</v>
      </c>
      <c r="BB12" s="137">
        <f t="shared" si="1"/>
        <v>5511</v>
      </c>
      <c r="BC12" s="135">
        <f>IF(ISNUMBER(X12),X12," - ")</f>
        <v>775</v>
      </c>
      <c r="BD12" s="136">
        <f t="shared" si="2"/>
        <v>0.89070422535211269</v>
      </c>
      <c r="BE12" s="137">
        <f t="shared" si="3"/>
        <v>3.4857685009487667</v>
      </c>
      <c r="BF12" s="137">
        <f t="shared" si="4"/>
        <v>0.49019607843137253</v>
      </c>
      <c r="BG12" s="209">
        <f t="shared" si="5"/>
        <v>4.4857685009487662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5720</v>
      </c>
      <c r="J14" s="197">
        <f t="shared" si="7"/>
        <v>1842</v>
      </c>
      <c r="K14" s="197">
        <f t="shared" si="7"/>
        <v>1586</v>
      </c>
      <c r="L14" s="197">
        <f t="shared" si="7"/>
        <v>6043</v>
      </c>
      <c r="M14" s="197">
        <f t="shared" si="7"/>
        <v>300</v>
      </c>
      <c r="N14" s="197">
        <f t="shared" si="7"/>
        <v>798</v>
      </c>
      <c r="O14" s="197">
        <f t="shared" si="7"/>
        <v>678</v>
      </c>
      <c r="P14" s="197">
        <f t="shared" si="7"/>
        <v>368</v>
      </c>
      <c r="Q14" s="197">
        <f t="shared" si="7"/>
        <v>263</v>
      </c>
      <c r="R14" s="197">
        <f t="shared" si="7"/>
        <v>7791</v>
      </c>
      <c r="S14" s="197">
        <f t="shared" si="7"/>
        <v>5199</v>
      </c>
      <c r="T14" s="197">
        <f t="shared" si="7"/>
        <v>1572</v>
      </c>
      <c r="U14" s="197">
        <f t="shared" si="7"/>
        <v>1369</v>
      </c>
      <c r="V14" s="197">
        <f t="shared" si="7"/>
        <v>5402</v>
      </c>
      <c r="W14" s="197">
        <f t="shared" si="7"/>
        <v>336</v>
      </c>
      <c r="X14" s="197">
        <f t="shared" si="7"/>
        <v>778</v>
      </c>
      <c r="Y14" s="197">
        <f t="shared" si="7"/>
        <v>182</v>
      </c>
      <c r="Z14" s="197">
        <f t="shared" si="7"/>
        <v>206</v>
      </c>
      <c r="AA14" s="197">
        <f t="shared" si="7"/>
        <v>178</v>
      </c>
      <c r="AB14" s="197">
        <f t="shared" si="7"/>
        <v>208</v>
      </c>
      <c r="AC14" s="197">
        <f t="shared" si="7"/>
        <v>0</v>
      </c>
      <c r="AD14" s="197">
        <f t="shared" si="7"/>
        <v>0</v>
      </c>
      <c r="AE14" s="197">
        <f t="shared" si="7"/>
        <v>0</v>
      </c>
      <c r="AF14" s="197">
        <f>SUBTOTAL(9,AF9:AF13)</f>
        <v>0</v>
      </c>
      <c r="AG14" s="197">
        <f t="shared" ref="AG14:AT14" si="8">SUBTOTAL(9,AG8:AG13)</f>
        <v>184</v>
      </c>
      <c r="AH14" s="197">
        <f t="shared" si="8"/>
        <v>220</v>
      </c>
      <c r="AI14" s="197">
        <f t="shared" si="8"/>
        <v>220</v>
      </c>
      <c r="AJ14" s="197">
        <f t="shared" si="8"/>
        <v>184</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5383</v>
      </c>
      <c r="AZ14" s="197">
        <f>SUBTOTAL(9,AZ8:AZ13)</f>
        <v>1792</v>
      </c>
      <c r="BA14" s="197">
        <f>SUBTOTAL(9,BA8:BA13)</f>
        <v>1589</v>
      </c>
      <c r="BB14" s="197">
        <f>SUBTOTAL(9,BB8:BB13)</f>
        <v>5586</v>
      </c>
      <c r="BC14" s="197">
        <f>SUBTOTAL(9,BC8:BC13)</f>
        <v>780</v>
      </c>
      <c r="BD14" s="219">
        <f>IF(ISNUMBER(BA14/AZ14),BA14/AZ14," - ")</f>
        <v>0.88671875</v>
      </c>
      <c r="BE14" s="220">
        <f>IF(ISNUMBER(BB14/BA14),BB14/BA14, " - ")</f>
        <v>3.515418502202643</v>
      </c>
      <c r="BF14" s="220">
        <f>IF(ISNUMBER(BC14/BA14),BC14/BA14, " - ")</f>
        <v>0.49087476400251728</v>
      </c>
      <c r="BG14" s="221">
        <f>IF(ISNUMBER((AY14+AZ14)/BA14),(AY14+AZ14)/BA14," - ")</f>
        <v>4.5154185022026434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1483</v>
      </c>
      <c r="J17" s="196">
        <v>1645</v>
      </c>
      <c r="K17" s="196">
        <v>1800</v>
      </c>
      <c r="L17" s="196">
        <v>1349</v>
      </c>
      <c r="M17" s="196">
        <v>175</v>
      </c>
      <c r="N17" s="196">
        <v>1141</v>
      </c>
      <c r="O17" s="194">
        <v>16</v>
      </c>
      <c r="P17" s="196">
        <v>37</v>
      </c>
      <c r="Q17" s="196">
        <v>34</v>
      </c>
      <c r="R17" s="196">
        <v>213</v>
      </c>
      <c r="S17" s="196">
        <v>1447</v>
      </c>
      <c r="T17" s="196">
        <v>1768</v>
      </c>
      <c r="U17" s="196">
        <v>1805</v>
      </c>
      <c r="V17" s="196">
        <v>1426</v>
      </c>
      <c r="W17" s="196">
        <v>178</v>
      </c>
      <c r="X17" s="202">
        <v>1177</v>
      </c>
      <c r="Y17" s="215">
        <v>0</v>
      </c>
      <c r="Z17" s="196">
        <v>0</v>
      </c>
      <c r="AA17" s="196">
        <v>0</v>
      </c>
      <c r="AB17" s="196">
        <v>0</v>
      </c>
      <c r="AC17" s="196">
        <v>9</v>
      </c>
      <c r="AD17" s="196">
        <v>89</v>
      </c>
      <c r="AE17" s="196">
        <v>77</v>
      </c>
      <c r="AF17" s="202">
        <v>21</v>
      </c>
      <c r="AG17" s="215">
        <v>0</v>
      </c>
      <c r="AH17" s="196">
        <v>0</v>
      </c>
      <c r="AI17" s="196">
        <v>0</v>
      </c>
      <c r="AJ17" s="216">
        <v>0</v>
      </c>
      <c r="AK17" s="195">
        <v>3</v>
      </c>
      <c r="AL17" s="196">
        <v>158</v>
      </c>
      <c r="AM17" s="196">
        <v>155</v>
      </c>
      <c r="AN17" s="202">
        <v>6</v>
      </c>
      <c r="AO17" s="283">
        <v>7</v>
      </c>
      <c r="AP17" s="168">
        <v>7</v>
      </c>
      <c r="AQ17" s="168">
        <v>7</v>
      </c>
      <c r="AR17" s="168">
        <v>7</v>
      </c>
      <c r="AS17" s="381" t="s">
        <v>650</v>
      </c>
      <c r="AT17" s="216"/>
      <c r="AU17" s="215"/>
      <c r="AV17" s="216"/>
      <c r="AW17" s="215"/>
      <c r="AX17" s="216"/>
      <c r="AY17" s="136">
        <f t="shared" si="10"/>
        <v>1447</v>
      </c>
      <c r="AZ17" s="137">
        <f t="shared" si="10"/>
        <v>1768</v>
      </c>
      <c r="BA17" s="137">
        <f t="shared" si="10"/>
        <v>1805</v>
      </c>
      <c r="BB17" s="137">
        <f t="shared" si="10"/>
        <v>1426</v>
      </c>
      <c r="BC17" s="135">
        <f>IF(ISNUMBER(W17),W17," - ")</f>
        <v>178</v>
      </c>
      <c r="BD17" s="136">
        <f t="shared" ref="BD17:BD22" si="12">IF(ISNUMBER(BA17/AZ17),BA17/AZ17," - ")</f>
        <v>1.0209276018099547</v>
      </c>
      <c r="BE17" s="137">
        <f t="shared" ref="BE17:BE22" si="13">IF(ISNUMBER(BB17/BA17),BB17/BA17, " - ")</f>
        <v>0.79002770083102491</v>
      </c>
      <c r="BF17" s="137">
        <f t="shared" ref="BF17:BF22" si="14">IF(ISNUMBER(BC17/BA17),BC17/BA17, " - ")</f>
        <v>9.8614958448753468E-2</v>
      </c>
      <c r="BG17" s="209">
        <f t="shared" si="11"/>
        <v>1.7811634349030472</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222</v>
      </c>
      <c r="J18" s="196">
        <v>112</v>
      </c>
      <c r="K18" s="196">
        <v>113</v>
      </c>
      <c r="L18" s="196">
        <v>221</v>
      </c>
      <c r="M18" s="196">
        <v>2</v>
      </c>
      <c r="N18" s="196">
        <v>69</v>
      </c>
      <c r="O18" s="196">
        <v>0</v>
      </c>
      <c r="P18" s="196">
        <v>0</v>
      </c>
      <c r="Q18" s="196">
        <v>0</v>
      </c>
      <c r="R18" s="196">
        <v>2</v>
      </c>
      <c r="S18" s="196">
        <v>158</v>
      </c>
      <c r="T18" s="196">
        <v>109</v>
      </c>
      <c r="U18" s="196">
        <v>124</v>
      </c>
      <c r="V18" s="196">
        <v>143</v>
      </c>
      <c r="W18" s="196">
        <v>3</v>
      </c>
      <c r="X18" s="202">
        <v>66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158</v>
      </c>
      <c r="AZ18" s="139">
        <f t="shared" si="15"/>
        <v>109</v>
      </c>
      <c r="BA18" s="139">
        <f t="shared" si="15"/>
        <v>124</v>
      </c>
      <c r="BB18" s="139">
        <f t="shared" si="15"/>
        <v>143</v>
      </c>
      <c r="BC18" s="135">
        <f>IF(ISNUMBER(W18),W18," - ")</f>
        <v>3</v>
      </c>
      <c r="BD18" s="136">
        <f>IF(ISNUMBER(BA18/AZ18),BA18/AZ18," - ")</f>
        <v>1.1376146788990826</v>
      </c>
      <c r="BE18" s="137">
        <f>IF(ISNUMBER(BB18/BA18),BB18/BA18, " - ")</f>
        <v>1.153225806451613</v>
      </c>
      <c r="BF18" s="137">
        <f>IF(ISNUMBER(BC18/BA18),BC18/BA18, " - ")</f>
        <v>2.4193548387096774E-2</v>
      </c>
      <c r="BG18" s="209">
        <f>IF(ISNUMBER((AY18+AZ18)/BA18),(AY18+AZ18)/BA18," - ")</f>
        <v>2.153225806451613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1705</v>
      </c>
      <c r="J23" s="197">
        <f t="shared" si="21"/>
        <v>1757</v>
      </c>
      <c r="K23" s="197">
        <f t="shared" si="21"/>
        <v>1913</v>
      </c>
      <c r="L23" s="197">
        <f t="shared" si="21"/>
        <v>1570</v>
      </c>
      <c r="M23" s="197">
        <f t="shared" si="21"/>
        <v>177</v>
      </c>
      <c r="N23" s="197">
        <f t="shared" si="21"/>
        <v>1210</v>
      </c>
      <c r="O23" s="197">
        <f t="shared" si="21"/>
        <v>16</v>
      </c>
      <c r="P23" s="197">
        <f t="shared" si="21"/>
        <v>37</v>
      </c>
      <c r="Q23" s="197">
        <f t="shared" si="21"/>
        <v>34</v>
      </c>
      <c r="R23" s="197">
        <f t="shared" si="21"/>
        <v>215</v>
      </c>
      <c r="S23" s="197">
        <f t="shared" si="21"/>
        <v>1605</v>
      </c>
      <c r="T23" s="197">
        <f t="shared" si="21"/>
        <v>1877</v>
      </c>
      <c r="U23" s="197">
        <f t="shared" si="21"/>
        <v>1929</v>
      </c>
      <c r="V23" s="197">
        <f t="shared" si="21"/>
        <v>1569</v>
      </c>
      <c r="W23" s="197">
        <f t="shared" si="21"/>
        <v>181</v>
      </c>
      <c r="X23" s="197">
        <f t="shared" si="21"/>
        <v>1243</v>
      </c>
      <c r="Y23" s="197">
        <f t="shared" si="21"/>
        <v>0</v>
      </c>
      <c r="Z23" s="197">
        <f t="shared" si="21"/>
        <v>0</v>
      </c>
      <c r="AA23" s="197">
        <f t="shared" si="21"/>
        <v>0</v>
      </c>
      <c r="AB23" s="197">
        <f t="shared" si="21"/>
        <v>0</v>
      </c>
      <c r="AC23" s="197">
        <f t="shared" si="21"/>
        <v>9</v>
      </c>
      <c r="AD23" s="197">
        <f t="shared" si="21"/>
        <v>89</v>
      </c>
      <c r="AE23" s="197">
        <f t="shared" si="21"/>
        <v>77</v>
      </c>
      <c r="AF23" s="197">
        <f t="shared" si="21"/>
        <v>21</v>
      </c>
      <c r="AG23" s="197">
        <f t="shared" si="21"/>
        <v>0</v>
      </c>
      <c r="AH23" s="197">
        <f t="shared" si="21"/>
        <v>0</v>
      </c>
      <c r="AI23" s="197">
        <f t="shared" si="21"/>
        <v>0</v>
      </c>
      <c r="AJ23" s="197">
        <f t="shared" si="21"/>
        <v>0</v>
      </c>
      <c r="AK23" s="197">
        <f t="shared" si="21"/>
        <v>3</v>
      </c>
      <c r="AL23" s="197">
        <f t="shared" si="21"/>
        <v>158</v>
      </c>
      <c r="AM23" s="197">
        <f t="shared" si="21"/>
        <v>155</v>
      </c>
      <c r="AN23" s="197">
        <f t="shared" si="21"/>
        <v>6</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1605</v>
      </c>
      <c r="AZ23" s="197">
        <f>SUBTOTAL(9,AZ15:AZ22)</f>
        <v>1877</v>
      </c>
      <c r="BA23" s="197">
        <f>SUBTOTAL(9,BA15:BA22)</f>
        <v>1929</v>
      </c>
      <c r="BB23" s="197">
        <f>SUBTOTAL(9,BB15:BB22)</f>
        <v>1569</v>
      </c>
      <c r="BC23" s="197">
        <f>SUBTOTAL(9,BC15:BC22)</f>
        <v>181</v>
      </c>
      <c r="BD23" s="219">
        <f>IF(ISNUMBER(BA23/AZ23),BA23/AZ23," - ")</f>
        <v>1.0277037826318594</v>
      </c>
      <c r="BE23" s="220">
        <f>IF(ISNUMBER(BB23/BA23),BB23/BA23, " - ")</f>
        <v>0.81337480559875586</v>
      </c>
      <c r="BF23" s="220">
        <f>IF(ISNUMBER(BC23/BA23),BC23/BA23, " - ")</f>
        <v>9.3831000518403318E-2</v>
      </c>
      <c r="BG23" s="221">
        <f>IF(ISNUMBER((AY23+AZ23)/BA23),(AY23+AZ23)/BA23," - ")</f>
        <v>1.805080352514256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7425</v>
      </c>
      <c r="J31" s="144">
        <f t="shared" si="36"/>
        <v>3599</v>
      </c>
      <c r="K31" s="144">
        <f t="shared" si="36"/>
        <v>3499</v>
      </c>
      <c r="L31" s="144">
        <f t="shared" si="36"/>
        <v>7613</v>
      </c>
      <c r="M31" s="144">
        <f t="shared" si="36"/>
        <v>477</v>
      </c>
      <c r="N31" s="144">
        <f t="shared" si="36"/>
        <v>2008</v>
      </c>
      <c r="O31" s="144">
        <f t="shared" si="36"/>
        <v>694</v>
      </c>
      <c r="P31" s="144">
        <f t="shared" si="36"/>
        <v>405</v>
      </c>
      <c r="Q31" s="144">
        <f t="shared" si="36"/>
        <v>297</v>
      </c>
      <c r="R31" s="144">
        <f t="shared" si="36"/>
        <v>8006</v>
      </c>
      <c r="S31" s="144">
        <f t="shared" si="36"/>
        <v>6804</v>
      </c>
      <c r="T31" s="144">
        <f t="shared" si="36"/>
        <v>3449</v>
      </c>
      <c r="U31" s="144">
        <f t="shared" si="36"/>
        <v>3298</v>
      </c>
      <c r="V31" s="144">
        <f t="shared" si="36"/>
        <v>6971</v>
      </c>
      <c r="W31" s="144">
        <f t="shared" si="36"/>
        <v>517</v>
      </c>
      <c r="X31" s="144">
        <f t="shared" si="36"/>
        <v>2021</v>
      </c>
      <c r="Y31" s="144">
        <f t="shared" si="36"/>
        <v>182</v>
      </c>
      <c r="Z31" s="144">
        <f t="shared" si="36"/>
        <v>206</v>
      </c>
      <c r="AA31" s="144">
        <f t="shared" si="36"/>
        <v>178</v>
      </c>
      <c r="AB31" s="144">
        <f t="shared" si="36"/>
        <v>208</v>
      </c>
      <c r="AC31" s="144">
        <f t="shared" si="36"/>
        <v>9</v>
      </c>
      <c r="AD31" s="144">
        <f t="shared" si="36"/>
        <v>89</v>
      </c>
      <c r="AE31" s="144">
        <f t="shared" si="36"/>
        <v>77</v>
      </c>
      <c r="AF31" s="144">
        <f t="shared" si="36"/>
        <v>21</v>
      </c>
      <c r="AG31" s="144">
        <f t="shared" si="36"/>
        <v>184</v>
      </c>
      <c r="AH31" s="144">
        <f t="shared" si="36"/>
        <v>220</v>
      </c>
      <c r="AI31" s="144">
        <f t="shared" si="36"/>
        <v>220</v>
      </c>
      <c r="AJ31" s="144">
        <f t="shared" si="36"/>
        <v>184</v>
      </c>
      <c r="AK31" s="144">
        <f t="shared" si="36"/>
        <v>3</v>
      </c>
      <c r="AL31" s="144">
        <f t="shared" si="36"/>
        <v>158</v>
      </c>
      <c r="AM31" s="144">
        <f t="shared" si="36"/>
        <v>155</v>
      </c>
      <c r="AN31" s="224">
        <f t="shared" si="36"/>
        <v>6</v>
      </c>
      <c r="AO31" s="225">
        <v>8</v>
      </c>
      <c r="AP31" s="225">
        <v>7</v>
      </c>
      <c r="AQ31" s="225">
        <v>7</v>
      </c>
      <c r="AR31" s="225">
        <v>7</v>
      </c>
      <c r="AS31" s="166">
        <f t="shared" si="36"/>
        <v>0</v>
      </c>
      <c r="AT31" s="166">
        <f t="shared" si="36"/>
        <v>0</v>
      </c>
      <c r="AU31" s="225"/>
      <c r="AV31" s="226"/>
      <c r="AW31" s="225"/>
      <c r="AX31" s="226"/>
      <c r="AY31" s="143">
        <f>SUBTOTAL(9,AY9:AY30)</f>
        <v>6988</v>
      </c>
      <c r="AZ31" s="144">
        <f>SUBTOTAL(9,AZ9:AZ30)</f>
        <v>3669</v>
      </c>
      <c r="BA31" s="144">
        <f>SUBTOTAL(9,BA9:BA30)</f>
        <v>3518</v>
      </c>
      <c r="BB31" s="144">
        <f>SUBTOTAL(9,BB9:BB30)</f>
        <v>7155</v>
      </c>
      <c r="BC31" s="145">
        <f>SUBTOTAL(9,BC9:BC30)</f>
        <v>961</v>
      </c>
      <c r="BD31" s="227">
        <f>IF(ISNUMBER(BA31/AZ31),BA31/AZ31," - ")</f>
        <v>0.9588443717634233</v>
      </c>
      <c r="BE31" s="224">
        <f>IF(ISNUMBER(BB31/BA31),BB31/BA31, " - ")</f>
        <v>2.0338260375213189</v>
      </c>
      <c r="BF31" s="224">
        <f>IF(ISNUMBER(BC31/BA31),BC31/BA31, " - ")</f>
        <v>0.2731665719158613</v>
      </c>
      <c r="BG31" s="145">
        <f>IF(ISNUMBER((AY31+AZ31)/BA31),(AY31+AZ31)/BA31," - ")</f>
        <v>3.0292779988629905</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IngkzyGIGOKimX6+slf6JkYn1hnDzkEQqsSKq+km9MHhTX9myxN9cUTVgYTwLGKFr3+7M/Bq78RFhnmC7zPhg==" saltValue="/MgBkjnNsy8UNJE4CL6a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OuplOJu+pV+0T9E41bpik3zr5UmkEeIG5xP+EmXREOgYhj6seodLJdTKbTSlBYNKcGDovIELDhnC8LkW6JGAw==" saltValue="kb8vuPh+psaFsqnPLD+D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MARTORELL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103</v>
      </c>
      <c r="G10" s="543">
        <f>IF(ISNUMBER(Datos!I10),Datos!I10," - ")</f>
        <v>103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105</v>
      </c>
      <c r="AG10" s="549"/>
      <c r="AH10" s="549"/>
      <c r="AI10" s="549"/>
      <c r="AJ10" s="549"/>
      <c r="AK10" s="549"/>
      <c r="AL10" s="550"/>
      <c r="AM10" s="766">
        <f>IF(ISNUMBER(Datos!R10),Datos!R10," - ")</f>
        <v>68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8</v>
      </c>
      <c r="BE10" s="693" t="str">
        <f>IF(ISNUMBER(Datos!BW10),Datos!BW10," - ")</f>
        <v xml:space="preserve"> - </v>
      </c>
      <c r="BF10" s="762" t="str">
        <f>IF(ISNUMBER(Datos!BX10),Datos!BX10," - ")</f>
        <v xml:space="preserve"> - </v>
      </c>
      <c r="BG10" s="763">
        <f>IF(ISNUMBER(Datos!K10/Datos!J10),Datos!K10/Datos!J10," - ")</f>
        <v>0.8666666666666667</v>
      </c>
      <c r="BH10" s="764">
        <f>IF(ISNUMBER(((Datos!L10/Datos!K10)*11)/factor_trimestre),((Datos!L10/Datos!K10)*11)/factor_trimestre," - ")</f>
        <v>24.23076923076923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206</v>
      </c>
      <c r="O12" s="549"/>
      <c r="P12" s="549"/>
      <c r="Q12" s="547">
        <f>IF(ISNUMBER(Datos!P12),Datos!P12,0)</f>
        <v>364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208</v>
      </c>
      <c r="AI12" s="549" t="str">
        <f>IF(ISNUMBER(Datos!CD12),Datos!CD12,"-")</f>
        <v>-</v>
      </c>
      <c r="AJ12" s="549" t="str">
        <f>IF(ISNUMBER(Datos!EN12),Datos!EN12," - ")</f>
        <v xml:space="preserve"> - </v>
      </c>
      <c r="AK12" s="549"/>
      <c r="AL12" s="550"/>
      <c r="AM12" s="766">
        <f>IF(ISNUMBER(Datos!R12),Datos!R12," - ")</f>
        <v>7723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296</v>
      </c>
      <c r="BD12" s="693">
        <f>IF(ISNUMBER(Datos!N12),Datos!N12," - ")</f>
        <v>790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0.86128873585833743</v>
      </c>
      <c r="BH12" s="764">
        <f>IF(ISNUMBER(((IF(J_V="SI",Datos!L12/Datos!K12,(Datos!L12+Datos!AB12)/(Datos!K12+Datos!AA12)))*11)/factor_trimestre),((IF(J_V="SI",Datos!L12/Datos!K12,(Datos!L12+Datos!AB12)/(Datos!K12+Datos!AA12)))*11)/factor_trimestre," - ")</f>
        <v>10.529982866933182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1.3251115192862766E-2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103</v>
      </c>
      <c r="G14" s="1197">
        <f t="shared" si="1"/>
        <v>103</v>
      </c>
      <c r="H14" s="1198">
        <f t="shared" si="1"/>
        <v>0</v>
      </c>
      <c r="I14" s="1197">
        <f t="shared" si="1"/>
        <v>0</v>
      </c>
      <c r="J14" s="1164">
        <f t="shared" si="1"/>
        <v>0</v>
      </c>
      <c r="K14" s="1164">
        <f t="shared" si="1"/>
        <v>0</v>
      </c>
      <c r="L14" s="1198">
        <f t="shared" si="1"/>
        <v>0</v>
      </c>
      <c r="M14" s="1198">
        <f t="shared" si="1"/>
        <v>0</v>
      </c>
      <c r="N14" s="1198">
        <f t="shared" si="1"/>
        <v>206</v>
      </c>
      <c r="O14" s="1199">
        <f t="shared" si="1"/>
        <v>0</v>
      </c>
      <c r="P14" s="1199">
        <f t="shared" si="1"/>
        <v>0</v>
      </c>
      <c r="Q14" s="1198">
        <f t="shared" si="1"/>
        <v>368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263</v>
      </c>
      <c r="AD14" s="1198">
        <f t="shared" si="2"/>
        <v>0</v>
      </c>
      <c r="AE14" s="1198">
        <f t="shared" si="2"/>
        <v>0</v>
      </c>
      <c r="AF14" s="1198">
        <f t="shared" si="2"/>
        <v>105</v>
      </c>
      <c r="AG14" s="1198">
        <f t="shared" si="2"/>
        <v>0</v>
      </c>
      <c r="AH14" s="1198">
        <f t="shared" si="2"/>
        <v>208</v>
      </c>
      <c r="AI14" s="1198">
        <f t="shared" si="2"/>
        <v>0</v>
      </c>
      <c r="AJ14" s="1198">
        <f t="shared" si="2"/>
        <v>0</v>
      </c>
      <c r="AK14" s="1198">
        <f t="shared" si="2"/>
        <v>0</v>
      </c>
      <c r="AL14" s="1198">
        <f t="shared" si="2"/>
        <v>0</v>
      </c>
      <c r="AM14" s="1198">
        <f t="shared" si="2"/>
        <v>7791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300</v>
      </c>
      <c r="BD14" s="1198">
        <f t="shared" si="2"/>
        <v>798</v>
      </c>
      <c r="BE14" s="1198">
        <f t="shared" si="2"/>
        <v>0</v>
      </c>
      <c r="BF14" s="1198">
        <f t="shared" si="2"/>
        <v>0</v>
      </c>
      <c r="BG14" s="1198">
        <f>IF(ISNUMBER(Datos!K14/Datos!J14),Datos!K14/Datos!J14," - ")</f>
        <v>0.86102062975027149</v>
      </c>
      <c r="BH14" s="1202">
        <f>IF(ISNUMBER(((Datos!L14/Datos!K14)*11)/factor_trimestre),((Datos!L14/Datos!K14)*11)/factor_trimestre," - ")</f>
        <v>11.430643127364439</v>
      </c>
      <c r="BI14" s="1198">
        <f>IF(ISNUMBER('Resol  Asuntos'!D14/NºAsuntos!G14),'Resol  Asuntos'!D14/NºAsuntos!G14," - ")</f>
        <v>0.17006802721088435</v>
      </c>
      <c r="BJ14" s="1198" t="str">
        <f>IF(ISNUMBER(Datos!CI14/Datos!CJ14),Datos!CI14/Datos!CJ14," - ")</f>
        <v xml:space="preserve"> - </v>
      </c>
      <c r="BK14" s="1198">
        <f>SUBTOTAL(9,BK8:BK13)</f>
        <v>0</v>
      </c>
      <c r="BL14" s="1198">
        <f>IF(ISNUMBER((I14-AB14+L14)/(F14)),(I14-AB14+L14)/(F14)," - ")</f>
        <v>-0.12621359223300971</v>
      </c>
      <c r="BM14" s="1203">
        <f>SUBTOTAL(9,BM9:BM13)</f>
        <v>7.5751115192862761E-2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1504</v>
      </c>
      <c r="G17" s="743">
        <f>IF(ISNUMBER(IF(D_I="SI",Datos!I17,Datos!I17+Datos!AC17)),IF(D_I="SI",Datos!I17,Datos!I17+Datos!AC17)," - ")</f>
        <v>1483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1800</v>
      </c>
      <c r="AC17" s="240">
        <f>IF(ISNUMBER(Datos!Q17),Datos!Q17," - ")</f>
        <v>34</v>
      </c>
      <c r="AD17" s="374"/>
      <c r="AE17" s="562"/>
      <c r="AF17" s="741">
        <f>IF(ISNUMBER(IF(D_I="SI",Datos!L17,Datos!L17+Datos!AF17)),IF(D_I="SI",Datos!L17,Datos!L17+Datos!AF17)," - ")</f>
        <v>1349</v>
      </c>
      <c r="AG17" s="374"/>
      <c r="AH17" s="374"/>
      <c r="AI17" s="374"/>
      <c r="AJ17" s="549"/>
      <c r="AK17" s="374"/>
      <c r="AL17" s="545"/>
      <c r="AM17" s="375">
        <f>IF(ISNUMBER(Datos!R17),Datos!R17," - ")</f>
        <v>213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175</v>
      </c>
      <c r="BD17" s="243">
        <f>IF(ISNUMBER(Datos!N17),Datos!N17," - ")</f>
        <v>1141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1.094224924012158</v>
      </c>
      <c r="BH17" s="764">
        <f>IF(ISNUMBER(((IF(D_I="SI",Datos!L17/Datos!K17,(Datos!L17+Datos!AF17)/(Datos!K17+Datos!AE17)))*11)/factor_trimestre),((IF(D_I="SI",Datos!L17/Datos!K17,(Datos!L17+Datos!AF17)/(Datos!K17+Datos!AE17)))*11)/factor_trimestre," - ")</f>
        <v>2.2483333333333335</v>
      </c>
      <c r="BI17" s="266">
        <f>IF(ISNUMBER('Resol  Asuntos'!D17/NºAsuntos!G17),'Resol  Asuntos'!D17/NºAsuntos!G17," - ")</f>
        <v>9.7222222222222224E-2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113</v>
      </c>
      <c r="AC18" s="547">
        <f>IF(ISNUMBER(Datos!Q18),Datos!Q18," - ")</f>
        <v>0</v>
      </c>
      <c r="AD18" s="549"/>
      <c r="AE18" s="562"/>
      <c r="AF18" s="551">
        <f>IF(ISNUMBER(Datos!L18),Datos!L18,"-")</f>
        <v>221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69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1.0089285714285714</v>
      </c>
      <c r="BH18" s="764">
        <f>IF(ISNUMBER(((IF(D_I="SI",Datos!L18/Datos!K18,(Datos!L18+Datos!AF18)/(Datos!K18+Datos!AE18)))*11)/factor_trimestre),((IF(D_I="SI",Datos!L18/Datos!K18,(Datos!L18+Datos!AF18)/(Datos!K18+Datos!AE18)))*11)/factor_trimestre," - ")</f>
        <v>5.8672566371681416</v>
      </c>
      <c r="BI18" s="763">
        <f>IF(ISNUMBER('Resol  Asuntos'!D18/NºAsuntos!G18),'Resol  Asuntos'!D18/NºAsuntos!G18," - ")</f>
        <v>1.7699115044247787E-2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1504</v>
      </c>
      <c r="G23" s="1197">
        <f>SUBTOTAL(9,G16:G22)</f>
        <v>1705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1913</v>
      </c>
      <c r="AC23" s="1198">
        <f t="shared" si="5"/>
        <v>34</v>
      </c>
      <c r="AD23" s="1198">
        <f t="shared" si="5"/>
        <v>0</v>
      </c>
      <c r="AE23" s="1198">
        <f t="shared" si="5"/>
        <v>0</v>
      </c>
      <c r="AF23" s="1198">
        <f t="shared" si="5"/>
        <v>1570</v>
      </c>
      <c r="AG23" s="1198">
        <f t="shared" si="5"/>
        <v>0</v>
      </c>
      <c r="AH23" s="1198">
        <f t="shared" si="5"/>
        <v>0</v>
      </c>
      <c r="AI23" s="1198">
        <f t="shared" si="5"/>
        <v>0</v>
      </c>
      <c r="AJ23" s="1198">
        <f t="shared" si="5"/>
        <v>0</v>
      </c>
      <c r="AK23" s="1198">
        <f t="shared" si="5"/>
        <v>0</v>
      </c>
      <c r="AL23" s="1198">
        <f t="shared" si="5"/>
        <v>0</v>
      </c>
      <c r="AM23" s="1198">
        <f t="shared" si="5"/>
        <v>215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177</v>
      </c>
      <c r="BD23" s="1198">
        <f t="shared" si="5"/>
        <v>1210</v>
      </c>
      <c r="BE23" s="1198">
        <f t="shared" si="5"/>
        <v>0</v>
      </c>
      <c r="BF23" s="1198">
        <f t="shared" si="5"/>
        <v>0</v>
      </c>
      <c r="BG23" s="1198">
        <f>IF(ISNUMBER(Datos!K23/Datos!J23),Datos!K23/Datos!J23," - ")</f>
        <v>1.0887877063175868</v>
      </c>
      <c r="BH23" s="1202">
        <f>IF(ISNUMBER(((Datos!L23/Datos!K23)*11)/factor_trimestre),((Datos!L23/Datos!K23)*11)/factor_trimestre," - ")</f>
        <v>2.462101411395714</v>
      </c>
      <c r="BI23" s="1198">
        <f>SUBTOTAL(9,BI16:BI22)</f>
        <v>0.11492133726647001</v>
      </c>
      <c r="BJ23" s="1198">
        <f>SUBTOTAL(9,BJ16:BJ22)</f>
        <v>0</v>
      </c>
      <c r="BK23" s="1198">
        <f>SUBTOTAL(9,BK16:BK22)</f>
        <v>0</v>
      </c>
      <c r="BL23" s="1198">
        <f>IF(ISNUMBER((I23-AB23+L23)/(F23)),(I23-AB23+L23)/(F23)," - ")</f>
        <v>-1.271941489361702</v>
      </c>
      <c r="BM23" s="1205">
        <f>IF(ISNUMBER((Datos!P23-Datos!Q23)/(Datos!R23-Datos!P23+Datos!Q23)),(Datos!P23-Datos!Q23)/(Datos!R23-Datos!P23+Datos!Q23)," - ")</f>
        <v>1.4150943396226415E-2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1607</v>
      </c>
      <c r="G31" s="1117">
        <f t="shared" si="18"/>
        <v>1808</v>
      </c>
      <c r="H31" s="1119">
        <f t="shared" si="18"/>
        <v>0</v>
      </c>
      <c r="I31" s="1117">
        <f t="shared" si="18"/>
        <v>0</v>
      </c>
      <c r="J31" s="1119">
        <f t="shared" si="18"/>
        <v>0</v>
      </c>
      <c r="K31" s="1119">
        <f t="shared" si="18"/>
        <v>0</v>
      </c>
      <c r="L31" s="1180">
        <f t="shared" si="18"/>
        <v>0</v>
      </c>
      <c r="M31" s="1180">
        <f t="shared" si="18"/>
        <v>0</v>
      </c>
      <c r="N31" s="1180">
        <f t="shared" si="18"/>
        <v>206</v>
      </c>
      <c r="O31" s="1180">
        <f t="shared" si="18"/>
        <v>0</v>
      </c>
      <c r="P31" s="1180">
        <f t="shared" si="18"/>
        <v>0</v>
      </c>
      <c r="Q31" s="1119">
        <f t="shared" si="18"/>
        <v>405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1926</v>
      </c>
      <c r="AC31" s="1118">
        <f t="shared" si="19"/>
        <v>297</v>
      </c>
      <c r="AD31" s="1118">
        <f t="shared" si="19"/>
        <v>0</v>
      </c>
      <c r="AE31" s="1118">
        <f t="shared" si="19"/>
        <v>0</v>
      </c>
      <c r="AF31" s="1125">
        <f t="shared" si="19"/>
        <v>1675</v>
      </c>
      <c r="AG31" s="1125">
        <f t="shared" si="19"/>
        <v>0</v>
      </c>
      <c r="AH31" s="1125">
        <f t="shared" si="19"/>
        <v>208</v>
      </c>
      <c r="AI31" s="1125">
        <f t="shared" si="19"/>
        <v>0</v>
      </c>
      <c r="AJ31" s="1118">
        <f t="shared" si="19"/>
        <v>0</v>
      </c>
      <c r="AK31" s="1125">
        <f t="shared" si="19"/>
        <v>0</v>
      </c>
      <c r="AL31" s="1125">
        <f t="shared" si="19"/>
        <v>0</v>
      </c>
      <c r="AM31" s="1125">
        <f t="shared" si="19"/>
        <v>8006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477</v>
      </c>
      <c r="BD31" s="1117">
        <f t="shared" si="19"/>
        <v>2008</v>
      </c>
      <c r="BE31" s="1117">
        <f t="shared" si="19"/>
        <v>0</v>
      </c>
      <c r="BF31" s="1127">
        <f t="shared" si="19"/>
        <v>0</v>
      </c>
      <c r="BG31" s="1223">
        <f>IF(ISNUMBER(Datos!K31/Datos!J31),Datos!K31/Datos!J31," - ")</f>
        <v>0.97221450402889686</v>
      </c>
      <c r="BH31" s="1223">
        <f>IF(ISNUMBER(((Datos!L31/Datos!K31)*11)/factor_trimestre),((Datos!L31/Datos!K31)*11)/factor_trimestre," - ")</f>
        <v>6.5272935124321236</v>
      </c>
      <c r="BI31" s="1103">
        <f>IF(ISNUMBER(Datos!J31/Datos!I31),Datos!J31/Datos!I31," - ")</f>
        <v>0.48471380471380471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-1.1985065339141256</v>
      </c>
      <c r="BM31" s="1188">
        <f>IF(ISNUMBER((Datos!P31-Datos!Q31+R31)/(Datos!R31-Datos!P31+Datos!Q31-R31)),(Datos!P31-Datos!Q31+R31)/(Datos!R31-Datos!P31+Datos!Q31-R31)," - ")</f>
        <v>1.3674347936186377E-2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516.57142857142856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751.48084916827156</v>
      </c>
      <c r="G33" s="674">
        <f>IF(ISNUMBER(STDEV(G8:G30)),STDEV(G8:G30),"-")</f>
        <v>742.61853310719755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893.77247557487374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134.07114316127624</v>
      </c>
      <c r="BD33" s="673"/>
      <c r="BE33" s="673">
        <f>IF(ISNUMBER(STDEV(BE8:BE30)),STDEV(BE8:BE30),"-")</f>
        <v>0</v>
      </c>
      <c r="BF33" s="678">
        <f>IF(ISNUMBER(STDEV(BF8:BF30)),STDEV(BF8:BF30),"-")</f>
        <v>0</v>
      </c>
      <c r="BG33" s="1052">
        <f>IF(ISNUMBER(STDEV(BG8:BG30)),STDEV(BG8:BG30),"-")</f>
        <v>0.11417147398655118</v>
      </c>
      <c r="BH33" s="1058">
        <f>IF(ISNUMBER(STDEV(BH8:BH30)),STDEV(BH8:BH30),"-")</f>
        <v>8.2108517611414786</v>
      </c>
      <c r="BI33" s="273">
        <f>IF(ISNUMBER(STDEV(BI8:BI30)),STDEV(BI8:BI30),"-")</f>
        <v>6.3016729163461072E-2</v>
      </c>
      <c r="BJ33" s="244" t="str">
        <f>IF(ISNUMBER(BL33/BM33),BL33/BM33," - ")</f>
        <v xml:space="preserve"> - </v>
      </c>
      <c r="BK33" s="709"/>
      <c r="BL33" s="681">
        <f>IF(ISNUMBER(STDEV(BL8:BL30)),STDEV(BL8:BL30),"-")</f>
        <v>0.81015196545430157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AB2BJJ3rApZYeJHpbIhyARuuquyY/2gK1vgrbSyMTcbs29+oCA1p12fFJ7a3IsAu6LLDpobnR7R9xWLOadzHw==" saltValue="yRtNDfyB6tg4iOsddrIB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MARTORELL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103</v>
      </c>
      <c r="G10" s="552">
        <f>IF(ISNUMBER(Datos!I10),Datos!I10," - ")</f>
        <v>103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105</v>
      </c>
      <c r="AB10" s="549"/>
      <c r="AC10" s="549"/>
      <c r="AD10" s="563"/>
      <c r="AE10" s="563">
        <f>IF(ISNUMBER(Datos!R10),Datos!R10," - ")</f>
        <v>68</v>
      </c>
      <c r="AF10" s="693" t="str">
        <f>IF(ISNUMBER(Datos!BV10),Datos!BV10," - ")</f>
        <v xml:space="preserve"> - </v>
      </c>
      <c r="AG10" s="552" t="str">
        <f>IF(ISNUMBER(Datos!DV10),Datos!DV10," - ")</f>
        <v xml:space="preserve"> - </v>
      </c>
      <c r="AH10" s="553"/>
      <c r="AI10" s="554"/>
      <c r="AJ10" s="552">
        <f>IF(ISNUMBER(Datos!M10),Datos!M10," - ")</f>
        <v>4</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24.23076923076923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263</v>
      </c>
      <c r="AA12" s="551" t="str">
        <f>IF(ISNUMBER(IF(J_V="SI",Datos!L12,Datos!L12+Datos!AB12)-IF(Monitorios="SI",Datos!CD12,0)),
                          IF(J_V="SI",Datos!L12,Datos!L12+Datos!AB12)-IF(Monitorios="SI",Datos!CD12,0),
                          " - ")</f>
        <v xml:space="preserve"> - </v>
      </c>
      <c r="AB12" s="549"/>
      <c r="AC12" s="549"/>
      <c r="AD12" s="563"/>
      <c r="AE12" s="563">
        <f>IF(ISNUMBER(Datos!R12),Datos!R12," - ")</f>
        <v>7723</v>
      </c>
      <c r="AF12" s="693" t="str">
        <f>IF(ISNUMBER(Datos!BV12),Datos!BV12," - ")</f>
        <v xml:space="preserve"> - </v>
      </c>
      <c r="AG12" s="552" t="str">
        <f>IF(ISNUMBER(Datos!DV12),Datos!DV12," - ")</f>
        <v xml:space="preserve"> - </v>
      </c>
      <c r="AH12" s="553"/>
      <c r="AI12" s="554"/>
      <c r="AJ12" s="552">
        <f>IF(ISNUMBER(Datos!M12),Datos!M12," - ")</f>
        <v>296</v>
      </c>
      <c r="AK12" s="693">
        <f>IF(ISNUMBER(Datos!N12),Datos!N12," - ")</f>
        <v>790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10.529982866933182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1.3251115192862766E-2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103</v>
      </c>
      <c r="G14" s="1197">
        <f>SUBTOTAL(9,G8:G13)</f>
        <v>103</v>
      </c>
      <c r="H14" s="1211"/>
      <c r="I14" s="1197">
        <f t="shared" ref="I14:N14" si="1">SUBTOTAL(9,I8:I13)</f>
        <v>0</v>
      </c>
      <c r="J14" s="1164">
        <f t="shared" si="1"/>
        <v>0</v>
      </c>
      <c r="K14" s="1211">
        <f t="shared" si="1"/>
        <v>0</v>
      </c>
      <c r="L14" s="1211">
        <f t="shared" si="1"/>
        <v>0</v>
      </c>
      <c r="M14" s="1211">
        <f t="shared" si="1"/>
        <v>0</v>
      </c>
      <c r="N14" s="1211">
        <f t="shared" si="1"/>
        <v>368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263</v>
      </c>
      <c r="AA14" s="1199">
        <f t="shared" si="3"/>
        <v>105</v>
      </c>
      <c r="AB14" s="1199">
        <f t="shared" si="3"/>
        <v>0</v>
      </c>
      <c r="AC14" s="1199">
        <f t="shared" si="3"/>
        <v>0</v>
      </c>
      <c r="AD14" s="1199">
        <f t="shared" si="3"/>
        <v>0</v>
      </c>
      <c r="AE14" s="1199">
        <f t="shared" si="3"/>
        <v>7791</v>
      </c>
      <c r="AF14" s="1211">
        <f t="shared" si="3"/>
        <v>0</v>
      </c>
      <c r="AG14" s="1211">
        <f t="shared" si="3"/>
        <v>0</v>
      </c>
      <c r="AH14" s="1211">
        <f t="shared" si="3"/>
        <v>0</v>
      </c>
      <c r="AI14" s="1211">
        <f t="shared" si="3"/>
        <v>0</v>
      </c>
      <c r="AJ14" s="1211">
        <f t="shared" si="3"/>
        <v>300</v>
      </c>
      <c r="AK14" s="1211">
        <f t="shared" si="3"/>
        <v>798</v>
      </c>
      <c r="AL14" s="1211">
        <f t="shared" si="3"/>
        <v>0</v>
      </c>
      <c r="AM14" s="1211">
        <f t="shared" si="3"/>
        <v>0</v>
      </c>
      <c r="AN14" s="1211">
        <f t="shared" si="3"/>
        <v>0</v>
      </c>
      <c r="AO14" s="1203">
        <f>IF(ISNUMBER(((NºAsuntos!I14/NºAsuntos!G14)*11)/factor_trimestre),((NºAsuntos!I14/NºAsuntos!G14)*11)/factor_trimestre," - ")</f>
        <v>10.630952380952381</v>
      </c>
      <c r="AP14" s="1213" t="str">
        <f>IF(ISNUMBER(Datos!CI14/Datos!CJ14),Datos!CI14/Datos!CJ14," - ")</f>
        <v xml:space="preserve"> - </v>
      </c>
      <c r="AQ14" s="1236">
        <f t="shared" ref="AQ14:AV14" si="4">SUBTOTAL(9,AQ9:AQ13)</f>
        <v>0</v>
      </c>
      <c r="AR14" s="1236">
        <f t="shared" si="4"/>
        <v>7.5751115192862761E-2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1504</v>
      </c>
      <c r="G17" s="552">
        <f>IF(ISNUMBER(IF(D_I="SI",Datos!I17,Datos!I17+Datos!AC17)),IF(D_I="SI",Datos!I17,Datos!I17+Datos!AC17)," - ")</f>
        <v>1483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1800</v>
      </c>
      <c r="Z17" s="805">
        <f>IF(ISNUMBER(Datos!Q17),Datos!Q17," - ")</f>
        <v>34</v>
      </c>
      <c r="AA17" s="551">
        <f>IF(ISNUMBER(IF(D_I="SI",Datos!L17,Datos!L17+Datos!AF17)),IF(D_I="SI",Datos!L17,Datos!L17+Datos!AF17)," - ")</f>
        <v>1349</v>
      </c>
      <c r="AB17" s="549"/>
      <c r="AC17" s="549"/>
      <c r="AD17" s="563"/>
      <c r="AE17" s="563">
        <f>IF(ISNUMBER(Datos!R17),Datos!R17," - ")</f>
        <v>213</v>
      </c>
      <c r="AF17" s="693" t="str">
        <f>IF(ISNUMBER(Datos!BV17),Datos!BV17," - ")</f>
        <v xml:space="preserve"> - </v>
      </c>
      <c r="AG17" s="552"/>
      <c r="AH17" s="553"/>
      <c r="AI17" s="554"/>
      <c r="AJ17" s="552">
        <f>IF(ISNUMBER(Datos!M17),Datos!M17," - ")</f>
        <v>175</v>
      </c>
      <c r="AK17" s="693">
        <f>IF(ISNUMBER(Datos!N17),Datos!N17," - ")</f>
        <v>1141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2.2483333333333335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113</v>
      </c>
      <c r="Z18" s="805">
        <f>IF(ISNUMBER(Datos!Q18),Datos!Q18," - ")</f>
        <v>0</v>
      </c>
      <c r="AA18" s="551">
        <f>IF(ISNUMBER(Datos!L18),Datos!L18,"-")</f>
        <v>221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v>
      </c>
      <c r="AK18" s="693">
        <f>IF(ISNUMBER(Datos!N18),Datos!N18," - ")</f>
        <v>69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5.8672566371681416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1504</v>
      </c>
      <c r="G23" s="1197">
        <f>SUBTOTAL(9,G16:G22)</f>
        <v>1705</v>
      </c>
      <c r="H23" s="1240">
        <f>SUBTOTAL(9,H16:H22)</f>
        <v>0</v>
      </c>
      <c r="I23" s="1217">
        <f>SUBTOTAL(9,I16:I22)</f>
        <v>0</v>
      </c>
      <c r="J23" s="1164">
        <f>SUBTOTAL(9,J15:J22)</f>
        <v>0</v>
      </c>
      <c r="K23" s="1240">
        <f t="shared" ref="K23:S23" si="5">SUBTOTAL(9,K16:K22)</f>
        <v>0</v>
      </c>
      <c r="L23" s="1240">
        <f t="shared" si="5"/>
        <v>0</v>
      </c>
      <c r="M23" s="1240">
        <f t="shared" si="5"/>
        <v>0</v>
      </c>
      <c r="N23" s="1240">
        <f t="shared" si="5"/>
        <v>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1913</v>
      </c>
      <c r="Z23" s="1240">
        <f t="shared" si="6"/>
        <v>34</v>
      </c>
      <c r="AA23" s="1240">
        <f t="shared" si="6"/>
        <v>1570</v>
      </c>
      <c r="AB23" s="1240">
        <f t="shared" si="6"/>
        <v>0</v>
      </c>
      <c r="AC23" s="1240">
        <f t="shared" si="6"/>
        <v>0</v>
      </c>
      <c r="AD23" s="1240">
        <f t="shared" si="6"/>
        <v>0</v>
      </c>
      <c r="AE23" s="1240">
        <f t="shared" si="6"/>
        <v>215</v>
      </c>
      <c r="AF23" s="1240">
        <f t="shared" si="6"/>
        <v>0</v>
      </c>
      <c r="AG23" s="1240">
        <f t="shared" si="6"/>
        <v>0</v>
      </c>
      <c r="AH23" s="1240">
        <f t="shared" si="6"/>
        <v>0</v>
      </c>
      <c r="AI23" s="1240">
        <f t="shared" si="6"/>
        <v>0</v>
      </c>
      <c r="AJ23" s="1240">
        <f t="shared" si="6"/>
        <v>177</v>
      </c>
      <c r="AK23" s="1240">
        <f t="shared" si="6"/>
        <v>1210</v>
      </c>
      <c r="AL23" s="1240">
        <f t="shared" si="6"/>
        <v>0</v>
      </c>
      <c r="AM23" s="1240">
        <f t="shared" si="6"/>
        <v>0</v>
      </c>
      <c r="AN23" s="1240">
        <f t="shared" si="6"/>
        <v>0</v>
      </c>
      <c r="AO23" s="1242">
        <f>IF(ISNUMBER(((NºAsuntos!I23/NºAsuntos!G23)*11)/factor_trimestre),((NºAsuntos!I23/NºAsuntos!G23)*11)/factor_trimestre," - ")</f>
        <v>2.462101411395714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1607</v>
      </c>
      <c r="G31" s="1117">
        <f t="shared" si="12"/>
        <v>1808</v>
      </c>
      <c r="H31" s="1118">
        <f t="shared" si="12"/>
        <v>0</v>
      </c>
      <c r="I31" s="1117">
        <f t="shared" si="12"/>
        <v>0</v>
      </c>
      <c r="J31" s="1119">
        <f t="shared" si="12"/>
        <v>0</v>
      </c>
      <c r="K31" s="1117">
        <f t="shared" si="12"/>
        <v>0</v>
      </c>
      <c r="L31" s="1120">
        <f t="shared" si="12"/>
        <v>0</v>
      </c>
      <c r="M31" s="1117">
        <f t="shared" si="12"/>
        <v>0</v>
      </c>
      <c r="N31" s="1118">
        <f t="shared" si="12"/>
        <v>405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1926</v>
      </c>
      <c r="Z31" s="1124">
        <f t="shared" si="13"/>
        <v>297</v>
      </c>
      <c r="AA31" s="1125">
        <f t="shared" si="13"/>
        <v>1675</v>
      </c>
      <c r="AB31" s="1125">
        <f t="shared" si="13"/>
        <v>0</v>
      </c>
      <c r="AC31" s="1125">
        <f t="shared" si="13"/>
        <v>0</v>
      </c>
      <c r="AD31" s="1126">
        <f t="shared" si="13"/>
        <v>0</v>
      </c>
      <c r="AE31" s="1126">
        <f t="shared" si="13"/>
        <v>8006</v>
      </c>
      <c r="AF31" s="1127">
        <f t="shared" si="13"/>
        <v>0</v>
      </c>
      <c r="AG31" s="1128">
        <f t="shared" si="13"/>
        <v>0</v>
      </c>
      <c r="AH31" s="1129">
        <f t="shared" si="13"/>
        <v>0</v>
      </c>
      <c r="AI31" s="1127">
        <f t="shared" si="13"/>
        <v>0</v>
      </c>
      <c r="AJ31" s="1117">
        <f t="shared" si="13"/>
        <v>477</v>
      </c>
      <c r="AK31" s="1117">
        <f t="shared" si="13"/>
        <v>2008</v>
      </c>
      <c r="AL31" s="1117">
        <f t="shared" si="13"/>
        <v>0</v>
      </c>
      <c r="AM31" s="1130">
        <f t="shared" si="13"/>
        <v>0</v>
      </c>
      <c r="AN31" s="1120">
        <f>IF(ISNUMBER(Datos!K31/Datos!J31),Datos!K31/Datos!J31," - ")</f>
        <v>0.97221450402889686</v>
      </c>
      <c r="AO31" s="1120">
        <f>IF(ISNUMBER(FIND("06",Criterios!A8,1)),(IF(ISNUMBER(((Datos!R31/Datos!Q31)*11)/factor_trimestre),((Datos!R31/Datos!Q31)*11)/factor_trimestre," - ")),(IF(ISNUMBER(((Datos!L31/Datos!K31)*11)/factor_trimestre),((Datos!L31/Datos!K31)*11)/factor_trimestre," - ")))</f>
        <v>6.5272935124321236</v>
      </c>
      <c r="AP31" s="1131" t="str">
        <f>IF(ISNUMBER(Datos!CI31/Datos!CJ31),Datos!CI31/Datos!CJ31," - ")</f>
        <v xml:space="preserve"> - </v>
      </c>
      <c r="AQ31" s="1131">
        <f>IF(OR(ISNUMBER(FIND("01",Criterios!A8,1)),ISNUMBER(FIND("02",Criterios!A8,1)),ISNUMBER(FIND("03",Criterios!A8,1)),ISNUMBER(FIND("04",Criterios!A8,1))),(J31-Y31+K31)/(F31-K31),(I31-Y31+K31)/(F31-K31))</f>
        <v>-1.1985065339141256</v>
      </c>
      <c r="AR31" s="1131">
        <f>IF(ISNUMBER((Datos!P31-Datos!Q31+O31)/(Datos!R31-Datos!P31+Datos!Q31-O31)),(Datos!P31-Datos!Q31+O31)/(Datos!R31-Datos!P31+Datos!Q31-O31)," - ")</f>
        <v>1.3674347936186377E-2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516.57142857142856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751.48084916827156</v>
      </c>
      <c r="G33" s="674">
        <f>IF(ISNUMBER(STDEV(G8:G30)),STDEV(G8:G30),"-")</f>
        <v>742.61853310719755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134.07114316127624</v>
      </c>
      <c r="AK33" s="276"/>
      <c r="AL33" s="276">
        <f>IF(ISNUMBER(STDEV(AL8:AL30)),STDEV(AL8:AL30),"-")</f>
        <v>0</v>
      </c>
      <c r="AM33" s="278">
        <f>IF(ISNUMBER(STDEV(AM8:AM30)),STDEV(AM8:AM30),"-")</f>
        <v>0</v>
      </c>
      <c r="AN33" s="660">
        <f>IF(ISNUMBER(STDEV(AN8:AN30)),STDEV(AN8:AN30),"-")</f>
        <v>0</v>
      </c>
      <c r="AO33" s="661">
        <f>IF(ISNUMBER(STDEV(AO8:AO30)),STDEV(AO8:AO30),"-")</f>
        <v>8.1789237226391709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6qc5L7dr6rALlMlcRlqn0AyxS5whjcmXydw5jQkAu4JcG0pD9WTqJSF0fo+/vN6Q/KVPewwtN3WEwFkXbU71rQ==" saltValue="y63BFtEhgMCpklWLDeYA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ZVa1na7ixJSmZC+5FFjHnMI518WWsw79sw9GeUF7FF8eANaXLpcIkxLR+kRgf6EKOwIb2VUSh5kcsYUDf3WvQ==" saltValue="/5+pFGIqdG06cCBX5n3L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MHjXoC8Sy3aXmXz9WGyDnk85lzCf1EV0i5dzDJ81IG4Btjm6fg9jnHtHpghHlZAR8kGHv/5BfFzH+bdXnINaQ==" saltValue="Jjgmsur0sXGNYTVV60j/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MARTORELL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0.17006802721088435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0.12025625530383462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vgeK4WunWcltoSVoLVjYWt8VxT61GY3w9pqWHH6V6MSICLyVeAX/xoSIOHPtDnKMFPLi2Z4KVtCS0U8iLZciQ==" saltValue="aZFfSp7RaVl+lVxg1wCO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czZh0nkohsbvNkDB/juBCQFF0aGtZkKyNpV61hHQs6gELwqVP1Lr2ZYN7bnjd6u6204IF7S9y6MhfhJMIWcMw==" saltValue="UjM/i/QV2N1VcUh+t2Vc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MARTORELL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103</v>
      </c>
      <c r="D10" s="452">
        <f>IF(ISNUMBER(C10/Datos!BH10),C10/Datos!BH10," - ")</f>
        <v>103</v>
      </c>
      <c r="E10" s="451">
        <f>IF(ISNUMBER(Datos!J10),Datos!J10," - ")</f>
        <v>15</v>
      </c>
      <c r="F10" s="452">
        <f>IF(ISNUMBER(E10/B10),E10/B10," - ")</f>
        <v>15</v>
      </c>
      <c r="G10" s="451">
        <f>IF(ISNUMBER(Datos!K10),Datos!K10," - ")</f>
        <v>13</v>
      </c>
      <c r="H10" s="452">
        <f>IF(ISNUMBER(G10/B10),G10/B10," - ")</f>
        <v>13</v>
      </c>
      <c r="I10" s="451">
        <f>IF(ISNUMBER(Datos!L10),Datos!L10," - ")</f>
        <v>105</v>
      </c>
      <c r="J10" s="452">
        <f>IF(ISNUMBER(I10/B10),I10/B10," - ")</f>
        <v>105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5799</v>
      </c>
      <c r="D12" s="452">
        <f>IF(ISNUMBER(C12/Datos!BH12),C12/Datos!BH12," - ")</f>
        <v>828.42857142857144</v>
      </c>
      <c r="E12" s="451">
        <f>IF(ISNUMBER(IF(J_V="SI",Datos!J12,Datos!J12+Datos!Z12)),IF(J_V="SI",Datos!J12,Datos!J12+Datos!Z12)," - ")</f>
        <v>2033</v>
      </c>
      <c r="F12" s="452">
        <f>IF(ISNUMBER(E12/B12),E12/B12," - ")</f>
        <v>290.42857142857144</v>
      </c>
      <c r="G12" s="451">
        <f>IF(ISNUMBER(IF(J_V="SI",Datos!K12,Datos!K12+Datos!AA12)),IF(J_V="SI",Datos!K12,Datos!K12+Datos!AA12)," - ")</f>
        <v>1751</v>
      </c>
      <c r="H12" s="452">
        <f>IF(ISNUMBER(G12/B12),G12/B12," - ")</f>
        <v>250.14285714285714</v>
      </c>
      <c r="I12" s="451">
        <f>IF(ISNUMBER(IF(J_V="SI",Datos!L12,Datos!L12+Datos!AB12)),IF(J_V="SI",Datos!L12,Datos!L12+Datos!AB12)," - ")</f>
        <v>6146</v>
      </c>
      <c r="J12" s="452">
        <f>IF(ISNUMBER(I12/B12),I12/B12," - ")</f>
        <v>878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5902</v>
      </c>
      <c r="D14" s="1147" t="str">
        <f>IF(ISNUMBER(C14/Datos!BI14),C14/Datos!BI14," - ")</f>
        <v xml:space="preserve"> - </v>
      </c>
      <c r="E14" s="1146">
        <f>SUBTOTAL(9,E8:E13)</f>
        <v>2048</v>
      </c>
      <c r="F14" s="1147">
        <f>IF(ISNUMBER(E14/B14),E14/B14," - ")</f>
        <v>292.57142857142856</v>
      </c>
      <c r="G14" s="1146">
        <f>SUBTOTAL(9,G8:G13)</f>
        <v>1764</v>
      </c>
      <c r="H14" s="1147">
        <f>IF(ISNUMBER(G14/B14),G14/B14," - ")</f>
        <v>252</v>
      </c>
      <c r="I14" s="1146">
        <f>SUBTOTAL(9,I8:I13)</f>
        <v>6251</v>
      </c>
      <c r="J14" s="1147">
        <f>IF(ISNUMBER(I14/B14),I14/B14," - ")</f>
        <v>893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1483</v>
      </c>
      <c r="D17" s="452">
        <f>IF(ISNUMBER(C17/Datos!BH17),C17/Datos!BH17," - ")</f>
        <v>211.85714285714286</v>
      </c>
      <c r="E17" s="451">
        <f>IF(ISNUMBER(IF(D_I="SI",Datos!J17,Datos!J17+Datos!AD17)),IF(D_I="SI",Datos!J17,Datos!J17+Datos!AD17)," - ")</f>
        <v>1645</v>
      </c>
      <c r="F17" s="452">
        <f>IF(ISNUMBER(E17/B17),E17/B17," - ")</f>
        <v>235</v>
      </c>
      <c r="G17" s="451">
        <f>IF(ISNUMBER(IF(D_I="SI",Datos!K17,Datos!K17+Datos!AE17)),IF(D_I="SI",Datos!K17,Datos!K17+Datos!AE17)," - ")</f>
        <v>1800</v>
      </c>
      <c r="H17" s="452">
        <f>IF(ISNUMBER(G17/B17),G17/B17," - ")</f>
        <v>257.14285714285717</v>
      </c>
      <c r="I17" s="451">
        <f>IF(ISNUMBER(IF(D_I="SI",Datos!L17,Datos!L17+Datos!AF17)),IF(D_I="SI",Datos!L17,Datos!L17+Datos!AF17)," - ")</f>
        <v>1349</v>
      </c>
      <c r="J17" s="452">
        <f>IF(ISNUMBER(I17/B17),I17/B17," - ")</f>
        <v>192.71428571428572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222</v>
      </c>
      <c r="D18" s="452">
        <f>IF(ISNUMBER(C18/Datos!BH18),C18/Datos!BH18," - ")</f>
        <v>222</v>
      </c>
      <c r="E18" s="451">
        <f>IF(ISNUMBER(IF(D_I="SI",Datos!J18,Datos!J18+Datos!AD18)),IF(D_I="SI",Datos!J18,Datos!J18+Datos!AD18)," - ")</f>
        <v>112</v>
      </c>
      <c r="F18" s="452">
        <f>IF(ISNUMBER(E18/B18),E18/B18," - ")</f>
        <v>112</v>
      </c>
      <c r="G18" s="451">
        <f>IF(ISNUMBER(IF(D_I="SI",Datos!K18,Datos!K18+Datos!AE18)),IF(D_I="SI",Datos!K18,Datos!K18+Datos!AE18)," - ")</f>
        <v>113</v>
      </c>
      <c r="H18" s="452">
        <f>IF(ISNUMBER(G18/B18),G18/B18," - ")</f>
        <v>113</v>
      </c>
      <c r="I18" s="451">
        <f>IF(ISNUMBER(IF(D_I="SI",Datos!L18,Datos!L18+Datos!AF18)),IF(D_I="SI",Datos!L18,Datos!L18+Datos!AF18)," - ")</f>
        <v>221</v>
      </c>
      <c r="J18" s="452">
        <f>IF(ISNUMBER(I18/B18),I18/B18," - ")</f>
        <v>221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1705</v>
      </c>
      <c r="D23" s="1147" t="str">
        <f>IF(ISNUMBER(C23/Datos!BI23),C23/Datos!BI23," - ")</f>
        <v xml:space="preserve"> - </v>
      </c>
      <c r="E23" s="1146">
        <f>SUBTOTAL(9,E15:E22)</f>
        <v>1757</v>
      </c>
      <c r="F23" s="1147">
        <f>IF(ISNUMBER(E23/B23),E23/B23," - ")</f>
        <v>251</v>
      </c>
      <c r="G23" s="1146">
        <f>SUBTOTAL(9,G15:G22)</f>
        <v>1913</v>
      </c>
      <c r="H23" s="1147">
        <f>IF(ISNUMBER(G23/B23),G23/B23," - ")</f>
        <v>273.28571428571428</v>
      </c>
      <c r="I23" s="1146">
        <f>SUBTOTAL(9,I15:I22)</f>
        <v>1570</v>
      </c>
      <c r="J23" s="1147">
        <f>IF(ISNUMBER(I23/B23),I23/B23," - ")</f>
        <v>224.28571428571428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7607</v>
      </c>
      <c r="D31" s="1085" t="str">
        <f>IF(ISNUMBER(C31/Datos!BI31),C31/Datos!BI31," - ")</f>
        <v xml:space="preserve"> - </v>
      </c>
      <c r="E31" s="1084">
        <f>SUBTOTAL(9,E9:E30)</f>
        <v>3805</v>
      </c>
      <c r="F31" s="1085">
        <f>IF(ISNUMBER(E31/B31),E31/B31," - ")</f>
        <v>543.57142857142856</v>
      </c>
      <c r="G31" s="1084">
        <f>SUBTOTAL(9,G9:G30)</f>
        <v>3677</v>
      </c>
      <c r="H31" s="1085">
        <f>IF(ISNUMBER(G31/B31),G31/B31," - ")</f>
        <v>525.28571428571433</v>
      </c>
      <c r="I31" s="1084">
        <f>SUBTOTAL(9,I9:I30)</f>
        <v>7821</v>
      </c>
      <c r="J31" s="1085">
        <f>IF(ISNUMBER(I31/B31),I31/B31," - ")</f>
        <v>1117.2857142857142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fiCTUKvp7mCZn5o462GgQRhQAdKsgF78X8x3r/ZmxgnvMw/YpHdjuCkW+9izqmrUokGBl03voL4Q0zdYyNI/g==" saltValue="pB+TCpX+Z7LkA8y4zbTQ2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MARTORELL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103</v>
      </c>
      <c r="G10" s="906">
        <f>IF(ISNUMBER(Datos!I10),Datos!I10," - ")</f>
        <v>103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105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24.23076923076923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7723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296</v>
      </c>
      <c r="AM12" s="914">
        <f>IF(ISNUMBER(Datos!N12+DatosP!N17),Datos!N12+DatosP!N17," - ")</f>
        <v>790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10.529982866933182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1.3251115192862766E-2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103</v>
      </c>
      <c r="G14" s="1256">
        <f t="shared" si="0"/>
        <v>103</v>
      </c>
      <c r="H14" s="1256">
        <f t="shared" si="0"/>
        <v>0</v>
      </c>
      <c r="I14" s="1258">
        <f t="shared" si="0"/>
        <v>0</v>
      </c>
      <c r="J14" s="1257">
        <f t="shared" si="0"/>
        <v>0</v>
      </c>
      <c r="K14" s="1257">
        <f t="shared" si="0"/>
        <v>0</v>
      </c>
      <c r="L14" s="1259">
        <f t="shared" si="0"/>
        <v>0</v>
      </c>
      <c r="M14" s="1259">
        <f t="shared" si="0"/>
        <v>0</v>
      </c>
      <c r="N14" s="1257">
        <f t="shared" si="0"/>
        <v>368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263</v>
      </c>
      <c r="AE14" s="1257">
        <f t="shared" si="1"/>
        <v>0</v>
      </c>
      <c r="AF14" s="1257">
        <f t="shared" si="1"/>
        <v>105</v>
      </c>
      <c r="AG14" s="1257">
        <f t="shared" si="1"/>
        <v>0</v>
      </c>
      <c r="AH14" s="1257">
        <f t="shared" si="1"/>
        <v>7723</v>
      </c>
      <c r="AI14" s="1257">
        <f t="shared" si="1"/>
        <v>0</v>
      </c>
      <c r="AJ14" s="1257">
        <f t="shared" si="1"/>
        <v>0</v>
      </c>
      <c r="AK14" s="1257">
        <f t="shared" si="1"/>
        <v>0</v>
      </c>
      <c r="AL14" s="1257">
        <f t="shared" si="1"/>
        <v>300</v>
      </c>
      <c r="AM14" s="1257">
        <f t="shared" si="1"/>
        <v>798</v>
      </c>
      <c r="AN14" s="1257">
        <f t="shared" si="1"/>
        <v>0</v>
      </c>
      <c r="AO14" s="1257">
        <f t="shared" si="1"/>
        <v>0</v>
      </c>
      <c r="AP14" s="1262">
        <f>IF(ISNUMBER(((Datos!L14/Datos!K14)*11)/factor_trimestre),((Datos!L14/Datos!K14)*11)/factor_trimestre," - ")</f>
        <v>11.430643127364439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-0.12621359223300971</v>
      </c>
      <c r="AU14" s="1257" t="str">
        <f>IF(ISNUMBER((DatosP!#REF!-DatosP!#REF!+DatosP!#REF!)/(DatosP!#REF!+DatosP!#REF!-DatosP!#REF!-DatosP!#REF!)),(DatosP!#REF!-DatosP!#REF!+DatosP!#REF!)/(DatosP!#REF!+DatosP!#REF!-DatosP!#REF!-DatosP!#REF!)," - ")</f>
        <v xml:space="preserve"> - </v>
      </c>
      <c r="AV14" s="1263">
        <f>SUBTOTAL(9,AV9:AV13)</f>
        <v>1.3251115192862766E-2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2.462101411395714</v>
      </c>
      <c r="AQ23" s="1262">
        <f>IF(ISNUMBER(((Datos!M23/Datos!L23)*11)/factor_trimestre),((Datos!M23/Datos!L23)*11)/factor_trimestre," - ")</f>
        <v>0.33821656050955418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1.4150943396226415E-2</v>
      </c>
      <c r="AW23" s="1265">
        <f>IF(ISNUMBER((Datos!Q23-Datos!R23)/(Datos!S23-Datos!Q23+Datos!R23)),(Datos!Q23-Datos!R23)/(Datos!S23-Datos!Q23+Datos!R23)," - ")</f>
        <v>-0.1013437849944009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103</v>
      </c>
      <c r="G31" s="1278">
        <f t="shared" si="8"/>
        <v>103</v>
      </c>
      <c r="H31" s="1278">
        <f t="shared" si="8"/>
        <v>0</v>
      </c>
      <c r="I31" s="1279">
        <f t="shared" si="8"/>
        <v>0</v>
      </c>
      <c r="J31" s="1280">
        <f t="shared" si="8"/>
        <v>0</v>
      </c>
      <c r="K31" s="1280">
        <f t="shared" si="8"/>
        <v>0</v>
      </c>
      <c r="L31" s="1280">
        <f t="shared" si="8"/>
        <v>0</v>
      </c>
      <c r="M31" s="1280">
        <f t="shared" si="8"/>
        <v>0</v>
      </c>
      <c r="N31" s="1279">
        <f t="shared" si="8"/>
        <v>368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263</v>
      </c>
      <c r="AE31" s="1284">
        <f t="shared" si="9"/>
        <v>0</v>
      </c>
      <c r="AF31" s="1285">
        <f t="shared" si="9"/>
        <v>105</v>
      </c>
      <c r="AG31" s="1285">
        <f t="shared" si="9"/>
        <v>0</v>
      </c>
      <c r="AH31" s="1285">
        <f t="shared" si="9"/>
        <v>7723</v>
      </c>
      <c r="AI31" s="1285">
        <f t="shared" si="9"/>
        <v>0</v>
      </c>
      <c r="AJ31" s="1286">
        <f t="shared" si="9"/>
        <v>0</v>
      </c>
      <c r="AK31" s="1286">
        <f t="shared" si="9"/>
        <v>0</v>
      </c>
      <c r="AL31" s="1278">
        <f t="shared" si="9"/>
        <v>300</v>
      </c>
      <c r="AM31" s="1278">
        <f t="shared" si="9"/>
        <v>798</v>
      </c>
      <c r="AN31" s="1278">
        <f t="shared" si="9"/>
        <v>0</v>
      </c>
      <c r="AO31" s="1278">
        <f t="shared" si="9"/>
        <v>0</v>
      </c>
      <c r="AP31" s="1278">
        <f>IF(ISNUMBER(((Datos!L31/Datos!K31)*11)/factor_trimestre),((Datos!L31/Datos!K31)*11)/factor_trimestre," - ")</f>
        <v>6.5272935124321236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-0.12621359223300971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1.3674347936186377E-2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56.415423423032109</v>
      </c>
      <c r="G33" s="1007">
        <f>IF(ISNUMBER(STDEV(G8:G30)),STDEV(G8:G30),"-")</f>
        <v>56.415423423032109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153.38318030344789</v>
      </c>
      <c r="AM33" s="1006"/>
      <c r="AN33" s="1006">
        <f>IF(ISNUMBER(STDEV(AN8:AN30)),STDEV(AN8:AN30),"-")</f>
        <v>0</v>
      </c>
      <c r="AO33" s="1012">
        <f>IF(ISNUMBER(STDEV(AO8:AO30)),STDEV(AO8:AO30),"-")</f>
        <v>0</v>
      </c>
      <c r="AP33" s="1065">
        <f>IF(ISNUMBER(STDEV(AP8:AP30)),STDEV(AP8:AP30),"-")</f>
        <v>8.9989180575461649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urMHjn26Uh0Sh91xc+KDUBB9mGe69KmDgry3CrczKoEPdCbyVeYQAifSfAOyT/tp/NWGRoh+KIj0n6WgRM73A==" saltValue="kNlWxvvEpPZOuLTOhUe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MARTORELL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9kHa8xKsrIGYXwEgkcp7Iw+ft3Fg/wyIVwhy694C280SEUzC0PF+bUIKctQJNARdoNyq48fjUfGci2qBqnacPw==" saltValue="F6IxowgvriFKJtLOgOOQ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MARTORELL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8</v>
      </c>
      <c r="G10" s="452">
        <f>IF(ISNUMBER(F10/B10),F10/B10," - ")</f>
        <v>8</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296</v>
      </c>
      <c r="E12" s="452">
        <f t="shared" si="0"/>
        <v>42.285714285714285</v>
      </c>
      <c r="F12" s="451">
        <f>IF(ISNUMBER(Datos!N12),Datos!N12," - ")</f>
        <v>790</v>
      </c>
      <c r="G12" s="452">
        <f t="shared" si="1"/>
        <v>112.85714285714286</v>
      </c>
      <c r="H12" s="451">
        <f>IF(ISNUMBER(Datos!O12),Datos!O12," - ")</f>
        <v>677</v>
      </c>
      <c r="I12" s="452">
        <f t="shared" si="2"/>
        <v>96.714285714285708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300</v>
      </c>
      <c r="E14" s="1147">
        <f t="shared" si="0"/>
        <v>37.5</v>
      </c>
      <c r="F14" s="1146">
        <f>SUBTOTAL(9,F9:F13)</f>
        <v>798</v>
      </c>
      <c r="G14" s="1147">
        <f t="shared" si="1"/>
        <v>99.75</v>
      </c>
      <c r="H14" s="1146">
        <f>SUBTOTAL(9,H9:H13)</f>
        <v>678</v>
      </c>
      <c r="I14" s="1147">
        <f>IF(ISNUMBER(H14/B14),H14/B14," - ")</f>
        <v>84.75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175</v>
      </c>
      <c r="E17" s="452">
        <f t="shared" si="3"/>
        <v>25</v>
      </c>
      <c r="F17" s="451">
        <f>IF(ISNUMBER(Datos!N17),Datos!N17," - ")</f>
        <v>1141</v>
      </c>
      <c r="G17" s="452">
        <f t="shared" si="4"/>
        <v>163</v>
      </c>
      <c r="H17" s="451">
        <f>IF(ISNUMBER(Datos!O17),Datos!O17," - ")</f>
        <v>16</v>
      </c>
      <c r="I17" s="452">
        <f t="shared" si="5"/>
        <v>2.2857142857142856</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69</v>
      </c>
      <c r="G18" s="452">
        <f>IF(ISNUMBER(F18/B18),F18/B18," - ")</f>
        <v>69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177</v>
      </c>
      <c r="E23" s="1147">
        <f t="shared" si="3"/>
        <v>22.125</v>
      </c>
      <c r="F23" s="1146">
        <f>SUBTOTAL(9,F16:F22)</f>
        <v>1210</v>
      </c>
      <c r="G23" s="1147">
        <f t="shared" si="4"/>
        <v>151.25</v>
      </c>
      <c r="H23" s="1146">
        <f>SUBTOTAL(9,H16:H22)</f>
        <v>16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477</v>
      </c>
      <c r="E31" s="1085">
        <f>IF(ISNUMBER(D31/B31),D31/B31," - ")</f>
        <v>68.142857142857139</v>
      </c>
      <c r="F31" s="1084">
        <f>SUBTOTAL(9,F8:F30)</f>
        <v>2008</v>
      </c>
      <c r="G31" s="1085">
        <f>IF(ISNUMBER(F31/B31),F31/B31," - ")</f>
        <v>286.85714285714283</v>
      </c>
      <c r="H31" s="1084">
        <f>SUBTOTAL(9,H8:H30)</f>
        <v>694</v>
      </c>
      <c r="I31" s="1085">
        <f>IF(ISNUMBER(H31/B31),H31/B31," - ")</f>
        <v>99.142857142857139</v>
      </c>
    </row>
    <row r="34" spans="1:1">
      <c r="A34" s="439" t="str">
        <f>Criterios!A4</f>
        <v>Fecha Informe: 05 may. 2023</v>
      </c>
    </row>
    <row r="39" spans="1:1">
      <c r="A39" s="462"/>
    </row>
  </sheetData>
  <sheetProtection algorithmName="SHA-512" hashValue="2WR2bs1v2D1STLU18H56SmIbx7tMmLs3zRhMGP228IRdHwfWC712OCD5dOVGcgxYy+VncdsprqZu6p8E661/PA==" saltValue="GxsyOasDdqZwGhemVz7y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MARTORELL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0</v>
      </c>
      <c r="D10" s="456">
        <f>IF(ISNUMBER(Datos!R10),Datos!R10," - ")</f>
        <v>68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364</v>
      </c>
      <c r="C12" s="489">
        <f>IF(ISNUMBER(Datos!Q12),Datos!Q12," - ")</f>
        <v>263</v>
      </c>
      <c r="D12" s="456">
        <f>IF(ISNUMBER(Datos!R12),Datos!R12," - ")</f>
        <v>7723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368</v>
      </c>
      <c r="C14" s="1150">
        <f>SUBTOTAL(9,C9:C13)</f>
        <v>263</v>
      </c>
      <c r="D14" s="1148">
        <f>SUBTOTAL(9,D9:D13)</f>
        <v>7791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37</v>
      </c>
      <c r="C17" s="489">
        <f>IF(ISNUMBER(Datos!Q17),Datos!Q17," - ")</f>
        <v>34</v>
      </c>
      <c r="D17" s="456">
        <f>IF(ISNUMBER(Datos!R17),Datos!R17," - ")</f>
        <v>213</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37</v>
      </c>
      <c r="C23" s="1150">
        <f>SUBTOTAL(9,C16:C22)</f>
        <v>34</v>
      </c>
      <c r="D23" s="1148">
        <f>SUBTOTAL(9,D16:D22)</f>
        <v>215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405</v>
      </c>
      <c r="C31" s="1089">
        <f>SUBTOTAL(9,C8:C30)</f>
        <v>297</v>
      </c>
      <c r="D31" s="1090">
        <f>SUBTOTAL(9,D8:D30)</f>
        <v>8006</v>
      </c>
    </row>
    <row r="32" spans="1:4" ht="7.5" customHeight="1"/>
    <row r="33" spans="1:1" ht="6" customHeight="1"/>
    <row r="34" spans="1:1">
      <c r="A34" s="439" t="str">
        <f>Criterios!A4</f>
        <v>Fecha Informe: 05 may. 2023</v>
      </c>
    </row>
    <row r="39" spans="1:1">
      <c r="A39" s="462"/>
    </row>
  </sheetData>
  <sheetProtection algorithmName="SHA-512" hashValue="YPqO+14+jT32w4qpeGAsLxMmXCd6ad2m15SuXYB5T4QYyq7qSBUq+DhRrPv9BZfr88D+h9fdLEvXvu9CLip1OA==" saltValue="xK8nKIDVmVKxVvLemDxT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MARTORELL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0.56060606060606055</v>
      </c>
      <c r="C10" s="515">
        <f>IF(ISNUMBER((Datos!J10-Datos!T10)/Datos!T10),(Datos!J10-Datos!T10)/Datos!T10," - ")</f>
        <v>-0.11764705882352941</v>
      </c>
      <c r="D10" s="515">
        <f>IF(ISNUMBER((Datos!K10-Datos!U10)/Datos!U10),(Datos!K10-Datos!U10)/Datos!U10," - ")</f>
        <v>0.625</v>
      </c>
      <c r="E10" s="515">
        <f>IF(ISNUMBER((Datos!L10-Datos!V10)/Datos!V10),(Datos!L10-Datos!V10)/Datos!V10," - ")</f>
        <v>0.4</v>
      </c>
      <c r="F10" s="515">
        <f>IF(ISNUMBER((Datos!M10-Datos!W10)/Datos!W10),(Datos!M10-Datos!W10)/Datos!W10," - ")</f>
        <v>-0.2</v>
      </c>
      <c r="G10" s="516">
        <f>IF(ISNUMBER((Datos!N10-Datos!X10)/Datos!X10),(Datos!N10-Datos!X10)/Datos!X10," - ")</f>
        <v>1.6666666666666667</v>
      </c>
      <c r="H10" s="514">
        <f>IF(ISNUMBER(((NºAsuntos!G10/NºAsuntos!E10)-Datos!BD10)/Datos!BD10),((NºAsuntos!G10/NºAsuntos!E10)-Datos!BD10)/Datos!BD10," - ")</f>
        <v>0.84166666666666679</v>
      </c>
      <c r="I10" s="515">
        <f>IF(ISNUMBER(((NºAsuntos!I10/NºAsuntos!G10)-Datos!BE10)/Datos!BE10),((NºAsuntos!I10/NºAsuntos!G10)-Datos!BE10)/Datos!BE10," - ")</f>
        <v>-0.1384615384615385</v>
      </c>
      <c r="J10" s="521">
        <f>IF(ISNUMBER((('Resol  Asuntos'!D10/NºAsuntos!G10)-Datos!BF10)/Datos!BF10),(('Resol  Asuntos'!D10/NºAsuntos!G10)-Datos!BF10)/Datos!BF10," - ")</f>
        <v>-0.50769230769230766</v>
      </c>
      <c r="K10" s="522">
        <f>IF(ISNUMBER((((NºAsuntos!C10+NºAsuntos!E10)/NºAsuntos!G10)-Datos!BG10)/Datos!BG10),(((NºAsuntos!C10+NºAsuntos!E10)/NºAsuntos!G10)-Datos!BG10)/Datos!BG10," - ")</f>
        <v>-0.12511584800741429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9.0652623659958617E-2</v>
      </c>
      <c r="C12" s="515">
        <f>IF(ISNUMBER(
   IF(J_V="SI",(Datos!J12-Datos!T12)/Datos!T12,(Datos!J12+Datos!Z12-(Datos!T12+Datos!AH12))/(Datos!T12+Datos!AH12))
     ),IF(J_V="SI",(Datos!J12-Datos!T12)/Datos!T12,(Datos!J12+Datos!Z12-(Datos!T12+Datos!AH12))/(Datos!T12+Datos!AH12))," - ")</f>
        <v>0.14535211267605633</v>
      </c>
      <c r="D12" s="515">
        <f>IF(ISNUMBER(
   IF(J_V="SI",(Datos!K12-Datos!U12)/Datos!U12,(Datos!K12+Datos!AA12-(Datos!U12+Datos!AI12))/(Datos!U12+Datos!AI12))
     ),IF(J_V="SI",(Datos!K12-Datos!U12)/Datos!U12,(Datos!K12+Datos!AA12-(Datos!U12+Datos!AI12))/(Datos!U12+Datos!AI12))," - ")</f>
        <v>0.10752688172043011</v>
      </c>
      <c r="E12" s="515">
        <f>IF(ISNUMBER(
   IF(J_V="SI",(Datos!L12-Datos!V12)/Datos!V12,(Datos!L12+Datos!AB12-(Datos!V12+Datos!AJ12))/(Datos!V12+Datos!AJ12))
     ),IF(J_V="SI",(Datos!L12-Datos!V12)/Datos!V12,(Datos!L12+Datos!AB12-(Datos!V12+Datos!AJ12))/(Datos!V12+Datos!AJ12))," - ")</f>
        <v>0.1152240972600254</v>
      </c>
      <c r="F12" s="515">
        <f>IF(ISNUMBER((Datos!M12-Datos!W12)/Datos!W12),(Datos!M12-Datos!W12)/Datos!W12," - ")</f>
        <v>-0.10574018126888217</v>
      </c>
      <c r="G12" s="516">
        <f>IF(ISNUMBER((Datos!N12-Datos!X12)/Datos!X12),(Datos!N12-Datos!X12)/Datos!X12," - ")</f>
        <v>1.935483870967742E-2</v>
      </c>
      <c r="H12" s="514">
        <f>IF(ISNUMBER(((NºAsuntos!G12/NºAsuntos!E12)-Datos!BD12)/Datos!BD12),((NºAsuntos!G12/NºAsuntos!E12)-Datos!BD12)/Datos!BD12," - ")</f>
        <v>-3.3024980298198031E-2</v>
      </c>
      <c r="I12" s="515">
        <f>IF(ISNUMBER(((NºAsuntos!I12/NºAsuntos!G12)-Datos!BE12)/Datos!BE12),((NºAsuntos!I12/NºAsuntos!G12)-Datos!BE12)/Datos!BE12," - ")</f>
        <v>6.9499130600228914E-3</v>
      </c>
      <c r="J12" s="521">
        <f>IF(ISNUMBER((('Resol  Asuntos'!D12/NºAsuntos!G12)-Datos!BF12)/Datos!BF12),(('Resol  Asuntos'!D12/NºAsuntos!G12)-Datos!BF12)/Datos!BF12," - ")</f>
        <v>-0.65514563106796109</v>
      </c>
      <c r="K12" s="522">
        <f>IF(ISNUMBER((((NºAsuntos!C12+NºAsuntos!E12)/NºAsuntos!G12)-Datos!BG12)/Datos!BG12),(((NºAsuntos!C12+NºAsuntos!E12)/NºAsuntos!G12)-Datos!BG12)/Datos!BG12," - ")</f>
        <v>-2.8748377770110123E-3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9.6414638677317477E-2</v>
      </c>
      <c r="C14" s="1152">
        <f>IF(ISNUMBER(
   IF(J_V="SI",(Datos!J14-Datos!T14)/Datos!T14,(Datos!J14+Datos!Z14-(Datos!T14+Datos!AH14))/(Datos!T14+Datos!AH14))
     ),IF(J_V="SI",(Datos!J14-Datos!T14)/Datos!T14,(Datos!J14+Datos!Z14-(Datos!T14+Datos!AH14))/(Datos!T14+Datos!AH14))," - ")</f>
        <v>0.14285714285714285</v>
      </c>
      <c r="D14" s="1152">
        <f>IF(ISNUMBER(
   IF(J_V="SI",(Datos!K14-Datos!U14)/Datos!U14,(Datos!K14+Datos!AA14-(Datos!U14+Datos!AI14))/(Datos!U14+Datos!AI14))
     ),IF(J_V="SI",(Datos!K14-Datos!U14)/Datos!U14,(Datos!K14+Datos!AA14-(Datos!U14+Datos!AI14))/(Datos!U14+Datos!AI14))," - ")</f>
        <v>0.11013215859030837</v>
      </c>
      <c r="E14" s="1152">
        <f>IF(ISNUMBER(
   IF(J_V="SI",(Datos!L14-Datos!V14)/Datos!V14,(Datos!L14+Datos!AB14-(Datos!V14+Datos!AJ14))/(Datos!V14+Datos!AJ14))
     ),IF(J_V="SI",(Datos!L14-Datos!V14)/Datos!V14,(Datos!L14+Datos!AB14-(Datos!V14+Datos!AJ14))/(Datos!V14+Datos!AJ14))," - ")</f>
        <v>0.11904761904761904</v>
      </c>
      <c r="F14" s="1153">
        <f>IF(ISNUMBER((Datos!M14-Datos!W14)/Datos!W14),(Datos!M14-Datos!W14)/Datos!W14," - ")</f>
        <v>-0.10714285714285714</v>
      </c>
      <c r="G14" s="1154">
        <f>IF(ISNUMBER((Datos!N14-Datos!X14)/Datos!X14),(Datos!N14-Datos!X14)/Datos!X14," - ")</f>
        <v>2.570694087403599E-2</v>
      </c>
      <c r="H14" s="1154">
        <f>IF(ISNUMBER(((NºAsuntos!G14/NºAsuntos!E14)-Datos!BD14)/Datos!BD14),((NºAsuntos!G14/NºAsuntos!E14)-Datos!BD14)/Datos!BD14," - ")</f>
        <v>-2.8634361233480177E-2</v>
      </c>
      <c r="I14" s="1154">
        <f>IF(ISNUMBER(((NºAsuntos!I14/NºAsuntos!G14)-Datos!BE14)/Datos!BE14),((NºAsuntos!I14/NºAsuntos!G14)-Datos!BE14)/Datos!BE14," - ")</f>
        <v>8.0309901738473341E-3</v>
      </c>
      <c r="J14" s="1154">
        <f>IF(ISNUMBER((('Resol  Asuntos'!D14/NºAsuntos!G14)-Datos!BF14)/Datos!BF14),(('Resol  Asuntos'!D14/NºAsuntos!G14)-Datos!BF14)/Datos!BF14," - ")</f>
        <v>-0.65354090354090355</v>
      </c>
      <c r="K14" s="1154">
        <f>IF(ISNUMBER((((NºAsuntos!C14+NºAsuntos!E14)/NºAsuntos!G14)-Datos!BG14)/Datos!BG14),(((NºAsuntos!C14+NºAsuntos!E14)/NºAsuntos!G14)-Datos!BG14)/Datos!BG14," - ")</f>
        <v>-1.9080803052928491E-3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2.4879060124395301E-2</v>
      </c>
      <c r="C17" s="515">
        <f>IF(ISNUMBER(
   IF(D_I="SI",(Datos!J17-Datos!T17)/Datos!T17,(Datos!J17+Datos!AD17-(Datos!T17+Datos!AL17))/(Datos!T17+Datos!AL17))
     ),IF(D_I="SI",(Datos!J17-Datos!T17)/Datos!T17,(Datos!J17+Datos!AD17-(Datos!T17+Datos!AL17))/(Datos!T17+Datos!AL17))," - ")</f>
        <v>-6.9570135746606337E-2</v>
      </c>
      <c r="D17" s="515">
        <f>IF(ISNUMBER(
   IF(D_I="SI",(Datos!K17-Datos!U17)/Datos!U17,(Datos!K17+Datos!AE17-(Datos!U17+Datos!AM17))/(Datos!U17+Datos!AM17))
     ),IF(D_I="SI",(Datos!K17-Datos!U17)/Datos!U17,(Datos!K17+Datos!AE17-(Datos!U17+Datos!AM17))/(Datos!U17+Datos!AM17))," - ")</f>
        <v>-2.7700831024930748E-3</v>
      </c>
      <c r="E17" s="515">
        <f>IF(ISNUMBER(
   IF(D_I="SI",(Datos!L17-Datos!V17)/Datos!V17,(Datos!L17+Datos!AF17-(Datos!V17+Datos!AN17))/(Datos!V17+Datos!AN17))
     ),IF(D_I="SI",(Datos!L17-Datos!V17)/Datos!V17,(Datos!L17+Datos!AF17-(Datos!V17+Datos!AN17))/(Datos!V17+Datos!AN17))," - ")</f>
        <v>-5.3997194950911639E-2</v>
      </c>
      <c r="F17" s="515">
        <f>IF(ISNUMBER((Datos!M17-Datos!W17)/Datos!W17),(Datos!M17-Datos!W17)/Datos!W17," - ")</f>
        <v>-1.6853932584269662E-2</v>
      </c>
      <c r="G17" s="516">
        <f>IF(ISNUMBER((Datos!N17-Datos!X17)/Datos!X17),(Datos!N17-Datos!X17)/Datos!X17," - ")</f>
        <v>-3.058623619371283E-2</v>
      </c>
      <c r="H17" s="514">
        <f>IF(ISNUMBER(((NºAsuntos!G17/NºAsuntos!E17)-Datos!BD17)/Datos!BD17),((NºAsuntos!G17/NºAsuntos!E17)-Datos!BD17)/Datos!BD17," - ")</f>
        <v>7.1794828616894985E-2</v>
      </c>
      <c r="I17" s="515">
        <f>IF(ISNUMBER(((NºAsuntos!I17/NºAsuntos!G17)-Datos!BE17)/Datos!BE17),((NºAsuntos!I17/NºAsuntos!G17)-Datos!BE17)/Datos!BE17," - ")</f>
        <v>-5.1369409381330791E-2</v>
      </c>
      <c r="J17" s="521">
        <f>IF(ISNUMBER((('Resol  Asuntos'!D17/NºAsuntos!G17)-Datos!BF17)/Datos!BF17),(('Resol  Asuntos'!D17/NºAsuntos!G17)-Datos!BF17)/Datos!BF17," - ")</f>
        <v>-1.4122971285892667E-2</v>
      </c>
      <c r="K17" s="522">
        <f>IF(ISNUMBER((((NºAsuntos!C17+NºAsuntos!E17)/NºAsuntos!G17)-Datos!BG17)/Datos!BG17),(((NºAsuntos!C17+NºAsuntos!E17)/NºAsuntos!G17)-Datos!BG17)/Datos!BG17," - ")</f>
        <v>-2.4358043891480906E-2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0.4050632911392405</v>
      </c>
      <c r="C18" s="515">
        <f>IF(ISNUMBER(
   IF(D_I="SI",(Datos!J18-Datos!T18)/Datos!T18,(Datos!J18+Datos!AD18-(Datos!T18+Datos!AL18))/(Datos!T18+Datos!AL18))
     ),IF(D_I="SI",(Datos!J18-Datos!T18)/Datos!T18,(Datos!J18+Datos!AD18-(Datos!T18+Datos!AL18))/(Datos!T18+Datos!AL18))," - ")</f>
        <v>2.7522935779816515E-2</v>
      </c>
      <c r="D18" s="515">
        <f>IF(ISNUMBER(
   IF(D_I="SI",(Datos!K18-Datos!U18)/Datos!U18,(Datos!K18+Datos!AE18-(Datos!U18+Datos!AM18))/(Datos!U18+Datos!AM18))
     ),IF(D_I="SI",(Datos!K18-Datos!U18)/Datos!U18,(Datos!K18+Datos!AE18-(Datos!U18+Datos!AM18))/(Datos!U18+Datos!AM18))," - ")</f>
        <v>-8.8709677419354843E-2</v>
      </c>
      <c r="E18" s="515">
        <f>IF(ISNUMBER(
   IF(D_I="SI",(Datos!L18-Datos!V18)/Datos!V18,(Datos!L18+Datos!AF18-(Datos!V18+Datos!AN18))/(Datos!V18+Datos!AN18))
     ),IF(D_I="SI",(Datos!L18-Datos!V18)/Datos!V18,(Datos!L18+Datos!AF18-(Datos!V18+Datos!AN18))/(Datos!V18+Datos!AN18))," - ")</f>
        <v>0.54545454545454541</v>
      </c>
      <c r="F18" s="515">
        <f>IF(ISNUMBER((Datos!M18-Datos!W18)/Datos!W18),(Datos!M18-Datos!W18)/Datos!W18," - ")</f>
        <v>-0.33333333333333331</v>
      </c>
      <c r="G18" s="516">
        <f>IF(ISNUMBER((Datos!N18-Datos!X18)/Datos!X18),(Datos!N18-Datos!X18)/Datos!X18," - ")</f>
        <v>4.5454545454545456E-2</v>
      </c>
      <c r="H18" s="514">
        <f>IF(ISNUMBER(((NºAsuntos!G18/NºAsuntos!E18)-Datos!BD18)/Datos!BD18),((NºAsuntos!G18/NºAsuntos!E18)-Datos!BD18)/Datos!BD18," - ")</f>
        <v>-0.11311923963133648</v>
      </c>
      <c r="I18" s="515">
        <f>IF(ISNUMBER(((NºAsuntos!I18/NºAsuntos!G18)-Datos!BE18)/Datos!BE18),((NºAsuntos!I18/NºAsuntos!G18)-Datos!BE18)/Datos!BE18," - ")</f>
        <v>0.69589702333065151</v>
      </c>
      <c r="J18" s="521">
        <f>IF(ISNUMBER((('Resol  Asuntos'!D18/NºAsuntos!G18)-Datos!BF18)/Datos!BF18),(('Resol  Asuntos'!D18/NºAsuntos!G18)-Datos!BF18)/Datos!BF18," - ")</f>
        <v>-0.26843657817109146</v>
      </c>
      <c r="K18" s="522">
        <f>IF(ISNUMBER((((NºAsuntos!C18+NºAsuntos!E18)/NºAsuntos!G18)-Datos!BG18)/Datos!BG18),(((NºAsuntos!C18+NºAsuntos!E18)/NºAsuntos!G18)-Datos!BG18)/Datos!BG18," - ")</f>
        <v>0.37270889264525542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6.2305295950155763E-2</v>
      </c>
      <c r="C23" s="1152">
        <f>IF(ISNUMBER(
   IF(Criterios!B14="SI",(Datos!J23-Datos!T23)/Datos!T23,(Datos!J23+Datos!AD23-(Datos!T23+Datos!AL23))/(Datos!T23+Datos!AL23))
     ),IF(Criterios!B14="SI",(Datos!J23-Datos!T23)/Datos!T23,(Datos!J23+Datos!AD23-(Datos!T23+Datos!AL23))/(Datos!T23+Datos!AL23))," - ")</f>
        <v>-6.3931806073521572E-2</v>
      </c>
      <c r="D23" s="1152">
        <f>IF(ISNUMBER(
   IF(Criterios!B14="SI",(Datos!K23-Datos!U23)/Datos!U23,(Datos!K23+Datos!AE23-(Datos!U23+Datos!AM23))/(Datos!U23+Datos!AM23))
     ),IF(Criterios!B14="SI",(Datos!K23-Datos!U23)/Datos!U23,(Datos!K23+Datos!AE23-(Datos!U23+Datos!AM23))/(Datos!U23+Datos!AM23))," - ")</f>
        <v>-8.2944530844997408E-3</v>
      </c>
      <c r="E23" s="1152">
        <f>IF(ISNUMBER(
   IF(Criterios!B14="SI",(Datos!L23-Datos!V23)/Datos!V23,(Datos!L23+Datos!AF23-(Datos!V23+Datos!AN23))/(Datos!V23+Datos!AN23))
     ),IF(Criterios!B14="SI",(Datos!L23-Datos!V23)/Datos!V23,(Datos!L23+Datos!AF23-(Datos!V23+Datos!AN23))/(Datos!V23+Datos!AN23))," - ")</f>
        <v>6.3734862970044612E-4</v>
      </c>
      <c r="F23" s="1153">
        <f>IF(ISNUMBER((Datos!M23-Datos!W23)/Datos!W23),(Datos!M23-Datos!W23)/Datos!W23," - ")</f>
        <v>-2.2099447513812154E-2</v>
      </c>
      <c r="G23" s="1154">
        <f>IF(ISNUMBER((Datos!N23-Datos!X23)/Datos!X23),(Datos!N23-Datos!X23)/Datos!X23," - ")</f>
        <v>-2.6548672566371681E-2</v>
      </c>
      <c r="H23" s="1154">
        <f>IF(ISNUMBER(((NºAsuntos!G23/NºAsuntos!E23)-Datos!BD23)/Datos!BD23),((NºAsuntos!G23/NºAsuntos!E23)-Datos!BD23)/Datos!BD23," - ")</f>
        <v>5.9437286033235066E-2</v>
      </c>
      <c r="I23" s="1154">
        <f>IF(ISNUMBER(((NºAsuntos!I23/NºAsuntos!G23)-Datos!BE23)/Datos!BE23),((NºAsuntos!I23/NºAsuntos!G23)-Datos!BE23)/Datos!BE23," - ")</f>
        <v>9.0065057536289298E-3</v>
      </c>
      <c r="J23" s="1154">
        <f>IF(ISNUMBER((('Resol  Asuntos'!D23/NºAsuntos!G23)-Datos!BF23)/Datos!BF23),(('Resol  Asuntos'!D23/NºAsuntos!G23)-Datos!BF23)/Datos!BF23," - ")</f>
        <v>-1.3920457006870734E-2</v>
      </c>
      <c r="K23" s="1154">
        <f>IF(ISNUMBER((((NºAsuntos!C23+NºAsuntos!E23)/NºAsuntos!G23)-Datos!BG23)/Datos!BG23),(((NºAsuntos!C23+NºAsuntos!E23)/NºAsuntos!G23)-Datos!BG23)/Datos!BG23," - ")</f>
        <v>2.5719607041875692E-3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8.8580423583285633E-2</v>
      </c>
      <c r="C31" s="1092">
        <f>IF(ISNUMBER(
   IF(J_V="SI",(Datos!J31-Datos!T31)/Datos!T31,(Datos!J31+Datos!Z31-(Datos!T31+Datos!AH31))/(Datos!T31+Datos!AH31))
     ),IF(J_V="SI",(Datos!J31-Datos!T31)/Datos!T31,(Datos!J31+Datos!Z31-(Datos!T31+Datos!AH31))/(Datos!T31+Datos!AH31))," - ")</f>
        <v>3.706732079585718E-2</v>
      </c>
      <c r="D31" s="1092">
        <f>IF(ISNUMBER(
   IF(J_V="SI",(Datos!K31-Datos!U31)/Datos!U31,(Datos!K31+Datos!AA31-(Datos!U31+Datos!AI31))/(Datos!U31+Datos!AI31))
     ),IF(J_V="SI",(Datos!K31-Datos!U31)/Datos!U31,(Datos!K31+Datos!AA31-(Datos!U31+Datos!AI31))/(Datos!U31+Datos!AI31))," - ")</f>
        <v>4.5196134167140418E-2</v>
      </c>
      <c r="E31" s="1092">
        <f>IF(ISNUMBER(
   IF(J_V="SI",(Datos!L31-Datos!V31)/Datos!V31,(Datos!L31+Datos!AB31-(Datos!V31+Datos!AJ31))/(Datos!V31+Datos!AJ31))
     ),IF(J_V="SI",(Datos!L31-Datos!V31)/Datos!V31,(Datos!L31+Datos!AB31-(Datos!V31+Datos!AJ31))/(Datos!V31+Datos!AJ31))," - ")</f>
        <v>9.3081761006289301E-2</v>
      </c>
      <c r="F31" s="1093">
        <f>IF(ISNUMBER((Datos!M31-Datos!W31)/Datos!W31),(Datos!M31-Datos!W31)/Datos!W31," - ")</f>
        <v>-7.7369439071566737E-2</v>
      </c>
      <c r="G31" s="1094">
        <f>IF(ISNUMBER((Datos!N31-Datos!X31)/Datos!X31),(Datos!N31-Datos!X31)/Datos!X31," - ")</f>
        <v>-6.4324591786244431E-3</v>
      </c>
      <c r="H31" s="1095">
        <f>IF(ISNUMBER((Tasas!B31-Datos!BD31)/Datos!BD31),(Tasas!B31-Datos!BD31)/Datos!BD31," - ")</f>
        <v>7.838269713334579E-3</v>
      </c>
      <c r="I31" s="1096">
        <f>IF(ISNUMBER((Tasas!C31-Datos!BE31)/Datos!BE31),(Tasas!C31-Datos!BE31)/Datos!BE31," - ")</f>
        <v>4.5814967424565214E-2</v>
      </c>
      <c r="J31" s="1097">
        <f>IF(ISNUMBER((Tasas!D31-Datos!BF31)/Datos!BF31),(Tasas!D31-Datos!BF31)/Datos!BF31," - ")</f>
        <v>-0.52510543788666342</v>
      </c>
      <c r="K31" s="1097">
        <f>IF(ISNUMBER((Tasas!E31-Datos!BG31)/Datos!BG31),(Tasas!E31-Datos!BG31)/Datos!BG31," - ")</f>
        <v>2.4540197468015678E-2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sp72jmPWIcqPS19JlTSJqXfD9F8BAf7oQkvm4XTywlKZYVKmuBRI9DotHvmpvCLhptiKOYhK0Jeont6MURB+A==" saltValue="6JlRT4Odz+fxxua1VFyP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MARTORELL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0.8666666666666667</v>
      </c>
      <c r="C10" s="498">
        <f>IF(ISNUMBER(NºAsuntos!I10/NºAsuntos!G10),NºAsuntos!I10/NºAsuntos!G10," - ")</f>
        <v>8.0769230769230766</v>
      </c>
      <c r="D10" s="499">
        <f>IF(ISNUMBER('Resol  Asuntos'!D10/NºAsuntos!G10),'Resol  Asuntos'!D10/NºAsuntos!G10," - ")</f>
        <v>0.30769230769230771</v>
      </c>
      <c r="E10" s="500">
        <f>IF(ISNUMBER((NºAsuntos!C10+NºAsuntos!E10)/NºAsuntos!G10),(NºAsuntos!C10+NºAsuntos!E10)/NºAsuntos!G10," - ")</f>
        <v>9.0769230769230766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0.86128873585833743</v>
      </c>
      <c r="C12" s="498">
        <f>IF(ISNUMBER(NºAsuntos!I12/NºAsuntos!G12),NºAsuntos!I12/NºAsuntos!G12," - ")</f>
        <v>3.5099942889777269</v>
      </c>
      <c r="D12" s="499">
        <f>IF(ISNUMBER('Resol  Asuntos'!D12/NºAsuntos!G12),'Resol  Asuntos'!D12/NºAsuntos!G12," - ")</f>
        <v>0.1690462592804112</v>
      </c>
      <c r="E12" s="500">
        <f>IF(ISNUMBER((NºAsuntos!C12+NºAsuntos!E12)/NºAsuntos!G12),(NºAsuntos!C12+NºAsuntos!E12)/NºAsuntos!G12," - ")</f>
        <v>4.4728726442033127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0.861328125</v>
      </c>
      <c r="C14" s="1156">
        <f>IF(ISNUMBER(NºAsuntos!I14/NºAsuntos!G14),NºAsuntos!I14/NºAsuntos!G14," - ")</f>
        <v>3.5436507936507935</v>
      </c>
      <c r="D14" s="1157">
        <f>IF(ISNUMBER('Resol  Asuntos'!D14/NºAsuntos!G14),'Resol  Asuntos'!D14/NºAsuntos!G14," - ")</f>
        <v>0.17006802721088435</v>
      </c>
      <c r="E14" s="1158">
        <f>IF(ISNUMBER((NºAsuntos!C14+NºAsuntos!E14)/NºAsuntos!G14),(NºAsuntos!C14+NºAsuntos!E14)/NºAsuntos!G14," - ")</f>
        <v>4.5068027210884356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1.094224924012158</v>
      </c>
      <c r="C17" s="498">
        <f>IF(ISNUMBER(NºAsuntos!I17/NºAsuntos!G17),NºAsuntos!I17/NºAsuntos!G17," - ")</f>
        <v>0.74944444444444447</v>
      </c>
      <c r="D17" s="499">
        <f>IF(ISNUMBER('Resol  Asuntos'!D17/NºAsuntos!G17),'Resol  Asuntos'!D17/NºAsuntos!G17," - ")</f>
        <v>9.7222222222222224E-2</v>
      </c>
      <c r="E17" s="500">
        <f>IF(ISNUMBER((NºAsuntos!C17+NºAsuntos!E17)/NºAsuntos!G17),(NºAsuntos!C17+NºAsuntos!E17)/NºAsuntos!G17," - ")</f>
        <v>1.7377777777777779</v>
      </c>
      <c r="G17" s="523"/>
    </row>
    <row r="18" spans="1:7">
      <c r="A18" s="450" t="str">
        <f>Datos!A18</f>
        <v>Jdos. Violencia contra la mujer</v>
      </c>
      <c r="B18" s="497">
        <f>IF(ISNUMBER(NºAsuntos!G18/NºAsuntos!E18),NºAsuntos!G18/NºAsuntos!E18," - ")</f>
        <v>1.0089285714285714</v>
      </c>
      <c r="C18" s="498">
        <f>IF(ISNUMBER(NºAsuntos!I18/NºAsuntos!G18),NºAsuntos!I18/NºAsuntos!G18," - ")</f>
        <v>1.9557522123893805</v>
      </c>
      <c r="D18" s="499">
        <f>IF(ISNUMBER('Resol  Asuntos'!D18/NºAsuntos!G18),'Resol  Asuntos'!D18/NºAsuntos!G18," - ")</f>
        <v>1.7699115044247787E-2</v>
      </c>
      <c r="E18" s="500">
        <f>IF(ISNUMBER((NºAsuntos!C18+NºAsuntos!E18)/NºAsuntos!G18),(NºAsuntos!C18+NºAsuntos!E18)/NºAsuntos!G18," - ")</f>
        <v>2.9557522123893807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1.0887877063175868</v>
      </c>
      <c r="C23" s="1156">
        <f>IF(ISNUMBER(NºAsuntos!I23/NºAsuntos!G23),NºAsuntos!I23/NºAsuntos!G23," - ")</f>
        <v>0.82070047046523786</v>
      </c>
      <c r="D23" s="1159">
        <f>IF(ISNUMBER('Resol  Asuntos'!D23/NºAsuntos!G23),'Resol  Asuntos'!D23/NºAsuntos!G23," - ")</f>
        <v>9.2524830109775219E-2</v>
      </c>
      <c r="E23" s="1158">
        <f>IF(ISNUMBER((NºAsuntos!C23+NºAsuntos!E23)/NºAsuntos!G23),(NºAsuntos!C23+NºAsuntos!E23)/NºAsuntos!G23," - ")</f>
        <v>1.8097229482488237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0.96636005256241786</v>
      </c>
      <c r="C31" s="1099">
        <f>IF(ISNUMBER(NºAsuntos!I31/NºAsuntos!G31),NºAsuntos!I31/NºAsuntos!G31," - ")</f>
        <v>2.1270057111775906</v>
      </c>
      <c r="D31" s="1100">
        <f>IF(ISNUMBER('Resol  Asuntos'!D31/NºAsuntos!G31),'Resol  Asuntos'!D31/NºAsuntos!G31," - ")</f>
        <v>0.12972531955398423</v>
      </c>
      <c r="E31" s="1101">
        <f>IF(ISNUMBER((NºAsuntos!C31+NºAsuntos!E31)/NºAsuntos!G31),(NºAsuntos!C31+NºAsuntos!E31)/NºAsuntos!G31," - ")</f>
        <v>3.1036170791406037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fU2srEOXRO+0j/b1AA6+GYroyR85k73SesmnmVbuX6ScGjPwV7oI3Y/8Qb/GRyOgJWgcxnp868EEN7/izCAwg==" saltValue="Tga3tFhiNTJe4jeBVtkz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MARTORELL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103</v>
      </c>
      <c r="G10" s="373">
        <f>IF(ISNUMBER(Datos!I10),Datos!I10," - ")</f>
        <v>103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105</v>
      </c>
      <c r="AB10" s="374">
        <f>IF(ISNUMBER(Datos!R10),Datos!R10," - ")</f>
        <v>68</v>
      </c>
      <c r="AC10" s="374">
        <f t="shared" ref="AC10:AC13" si="1">IF(ISNUMBER(AA10+AB10),AA10+AB10," - ")</f>
        <v>173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0.8666666666666667</v>
      </c>
      <c r="AM10" s="284">
        <f>IF(ISNUMBER(((NºAsuntos!I10/NºAsuntos!G10)*11)/factor_trimestre),((NºAsuntos!I10/NºAsuntos!G10)*11)/factor_trimestre," - ")</f>
        <v>24.23076923076923</v>
      </c>
      <c r="AN10" s="267">
        <f>IF(ISNUMBER('Resol  Asuntos'!D10/NºAsuntos!G10),'Resol  Asuntos'!D10/NºAsuntos!G10," - ")</f>
        <v>0.30769230769230771</v>
      </c>
      <c r="AO10" s="268">
        <f>IF(ISNUMBER((NºAsuntos!C10+NºAsuntos!E10)/NºAsuntos!G10),(NºAsuntos!C10+NºAsuntos!E10)/NºAsuntos!G10," - ")</f>
        <v>9.0769230769230766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263</v>
      </c>
      <c r="Y12" s="374">
        <f t="shared" si="0"/>
        <v>263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7723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296</v>
      </c>
      <c r="AJ12" s="243" t="str">
        <f>IF(ISNUMBER(Datos!BW12),Datos!BW12," - ")</f>
        <v xml:space="preserve"> - </v>
      </c>
      <c r="AK12" s="242" t="str">
        <f>IF(ISNUMBER(Datos!BX12),Datos!BX12," - ")</f>
        <v xml:space="preserve"> - </v>
      </c>
      <c r="AL12" s="266">
        <f>IF(ISNUMBER(NºAsuntos!G12/NºAsuntos!E12),NºAsuntos!G12/NºAsuntos!E12," - ")</f>
        <v>0.86128873585833743</v>
      </c>
      <c r="AM12" s="284">
        <f>IF(ISNUMBER(((NºAsuntos!I12/NºAsuntos!G12)*11)/factor_trimestre),((NºAsuntos!I12/NºAsuntos!G12)*11)/factor_trimestre," - ")</f>
        <v>10.529982866933182</v>
      </c>
      <c r="AN12" s="267">
        <f>IF(ISNUMBER('Resol  Asuntos'!D12/NºAsuntos!G12),'Resol  Asuntos'!D12/NºAsuntos!G12," - ")</f>
        <v>0.1690462592804112</v>
      </c>
      <c r="AO12" s="268">
        <f>IF(ISNUMBER((NºAsuntos!C12+NºAsuntos!E12)/NºAsuntos!G12),(NºAsuntos!C12+NºAsuntos!E12)/NºAsuntos!G12," - ")</f>
        <v>4.4728726442033127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103</v>
      </c>
      <c r="G14" s="1163">
        <f t="shared" si="5"/>
        <v>103</v>
      </c>
      <c r="H14" s="1162">
        <f t="shared" si="5"/>
        <v>0</v>
      </c>
      <c r="I14" s="1164">
        <f t="shared" si="5"/>
        <v>0</v>
      </c>
      <c r="J14" s="1164">
        <f t="shared" si="5"/>
        <v>0</v>
      </c>
      <c r="K14" s="1164">
        <f t="shared" si="5"/>
        <v>0</v>
      </c>
      <c r="L14" s="1164">
        <f t="shared" si="5"/>
        <v>368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263</v>
      </c>
      <c r="Y14" s="1165">
        <f t="shared" si="6"/>
        <v>276</v>
      </c>
      <c r="Z14" s="1165">
        <f t="shared" si="6"/>
        <v>0</v>
      </c>
      <c r="AA14" s="1165">
        <f t="shared" si="6"/>
        <v>105</v>
      </c>
      <c r="AB14" s="1165">
        <f t="shared" si="6"/>
        <v>7791</v>
      </c>
      <c r="AC14" s="1165">
        <f t="shared" si="6"/>
        <v>173</v>
      </c>
      <c r="AD14" s="1165">
        <f t="shared" si="6"/>
        <v>0</v>
      </c>
      <c r="AE14" s="1169">
        <f t="shared" si="6"/>
        <v>0</v>
      </c>
      <c r="AF14" s="1162">
        <f t="shared" si="6"/>
        <v>0</v>
      </c>
      <c r="AG14" s="1170">
        <f t="shared" si="6"/>
        <v>0</v>
      </c>
      <c r="AH14" s="1167">
        <f t="shared" si="6"/>
        <v>0</v>
      </c>
      <c r="AI14" s="1162">
        <f t="shared" si="6"/>
        <v>300</v>
      </c>
      <c r="AJ14" s="1164">
        <f t="shared" si="6"/>
        <v>0</v>
      </c>
      <c r="AK14" s="1167">
        <f>SUBTOTAL(9,AK9:AK13)</f>
        <v>0</v>
      </c>
      <c r="AL14" s="1171">
        <f>IF(ISNUMBER(NºAsuntos!G14/NºAsuntos!E14),NºAsuntos!G14/NºAsuntos!E14," - ")</f>
        <v>0.861328125</v>
      </c>
      <c r="AM14" s="1171">
        <f>IF(ISNUMBER(((NºAsuntos!I14/NºAsuntos!G14)*11)/factor_trimestre),((NºAsuntos!I14/NºAsuntos!G14)*11)/factor_trimestre," - ")</f>
        <v>10.630952380952381</v>
      </c>
      <c r="AN14" s="1172">
        <f>IF(ISNUMBER('Resol  Asuntos'!D14/NºAsuntos!G14),'Resol  Asuntos'!D14/NºAsuntos!G14," - ")</f>
        <v>0.17006802721088435</v>
      </c>
      <c r="AO14" s="1173">
        <f>IF(ISNUMBER((NºAsuntos!C14+NºAsuntos!E14)/NºAsuntos!G14),(NºAsuntos!C14+NºAsuntos!E14)/NºAsuntos!G14," - ")</f>
        <v>4.5068027210884356</v>
      </c>
      <c r="AP14" s="1174" t="str">
        <f t="shared" si="2"/>
        <v xml:space="preserve"> - </v>
      </c>
      <c r="AQ14" s="1174">
        <f>IF(ISNUMBER((H14-W14+K14)/(F14)),(H14-W14+K14)/(F14)," - ")</f>
        <v>-0.12621359223300971</v>
      </c>
      <c r="AR14" s="1175">
        <f>IF(ISNUMBER((Datos!P14-Datos!Q14)/(Datos!R14-Datos!P14+Datos!Q14)),(Datos!P14-Datos!Q14)/(Datos!R14-Datos!P14+Datos!Q14)," - ")</f>
        <v>1.3661202185792349E-2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1504</v>
      </c>
      <c r="G17" s="373">
        <f>IF(ISNUMBER(IF(D_I="SI",Datos!I17,Datos!I17+Datos!AC17)),IF(D_I="SI",Datos!I17,Datos!I17+Datos!AC17)," - ")</f>
        <v>1483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1800</v>
      </c>
      <c r="X17" s="240">
        <f>IF(ISNUMBER(Datos!Q17),Datos!Q17," - ")</f>
        <v>34</v>
      </c>
      <c r="Y17" s="374">
        <f t="shared" ref="Y17:Y22" si="9">SUM(W17:X17)</f>
        <v>1834</v>
      </c>
      <c r="Z17" s="375" t="str">
        <f>IF(ISNUMBER(Datos!CC17),Datos!CC17," - ")</f>
        <v xml:space="preserve"> - </v>
      </c>
      <c r="AA17" s="372">
        <f>IF(ISNUMBER(IF(D_I="SI",Datos!L17,Datos!L17+Datos!AF17)),IF(D_I="SI",Datos!L17,Datos!L17+Datos!AF17)," - ")</f>
        <v>1349</v>
      </c>
      <c r="AB17" s="374">
        <f>IF(ISNUMBER(Datos!R17),Datos!R17," - ")</f>
        <v>213</v>
      </c>
      <c r="AC17" s="374">
        <f t="shared" si="8"/>
        <v>1562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175</v>
      </c>
      <c r="AJ17" s="245" t="str">
        <f>IF(ISNUMBER(Datos!BW17),Datos!BW17," - ")</f>
        <v xml:space="preserve"> - </v>
      </c>
      <c r="AK17" s="246" t="str">
        <f>IF(ISNUMBER(Datos!BX17),Datos!BX17," - ")</f>
        <v xml:space="preserve"> - </v>
      </c>
      <c r="AL17" s="266">
        <f>IF(ISNUMBER(NºAsuntos!G17/NºAsuntos!E17),NºAsuntos!G17/NºAsuntos!E17," - ")</f>
        <v>1.094224924012158</v>
      </c>
      <c r="AM17" s="284">
        <f>IF(ISNUMBER(((NºAsuntos!I17/NºAsuntos!G17)*11)/factor_trimestre),((NºAsuntos!I17/NºAsuntos!G17)*11)/factor_trimestre," - ")</f>
        <v>2.2483333333333335</v>
      </c>
      <c r="AN17" s="267">
        <f>IF(ISNUMBER('Resol  Asuntos'!D17/NºAsuntos!G17),'Resol  Asuntos'!D17/NºAsuntos!G17," - ")</f>
        <v>9.7222222222222224E-2</v>
      </c>
      <c r="AO17" s="268">
        <f>IF(ISNUMBER((NºAsuntos!C17+NºAsuntos!E17)/NºAsuntos!G17),(NºAsuntos!C17+NºAsuntos!E17)/NºAsuntos!G17," - ")</f>
        <v>1.7377777777777779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113</v>
      </c>
      <c r="X18" s="240">
        <f>IF(ISNUMBER(Datos!Q18),Datos!Q18," - ")</f>
        <v>0</v>
      </c>
      <c r="Y18" s="374">
        <f t="shared" si="9"/>
        <v>113</v>
      </c>
      <c r="Z18" s="375" t="str">
        <f>IF(ISNUMBER(Datos!CC18),Datos!CC18," - ")</f>
        <v xml:space="preserve"> - </v>
      </c>
      <c r="AA18" s="372">
        <f>IF(ISNUMBER(Datos!L18),Datos!L18,"-")</f>
        <v>221</v>
      </c>
      <c r="AB18" s="374">
        <f>IF(ISNUMBER(Datos!R18),Datos!R18," - ")</f>
        <v>2</v>
      </c>
      <c r="AC18" s="374">
        <f t="shared" si="8"/>
        <v>223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1.0089285714285714</v>
      </c>
      <c r="AM18" s="284">
        <f>IF(ISNUMBER(((NºAsuntos!I18/NºAsuntos!G18)*11)/factor_trimestre),((NºAsuntos!I18/NºAsuntos!G18)*11)/factor_trimestre," - ")</f>
        <v>5.8672566371681416</v>
      </c>
      <c r="AN18" s="267">
        <f>IF(ISNUMBER('Resol  Asuntos'!D18/NºAsuntos!G18),'Resol  Asuntos'!D18/NºAsuntos!G18," - ")</f>
        <v>1.7699115044247787E-2</v>
      </c>
      <c r="AO18" s="268">
        <f>IF(ISNUMBER((NºAsuntos!C18+NºAsuntos!E18)/NºAsuntos!G18),(NºAsuntos!C18+NºAsuntos!E18)/NºAsuntos!G18," - ")</f>
        <v>2.9557522123893807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1504</v>
      </c>
      <c r="G23" s="1163">
        <f>SUBTOTAL(9,G16:G22)</f>
        <v>1705</v>
      </c>
      <c r="H23" s="1162">
        <f t="shared" ref="H23:O23" si="13">SUBTOTAL(9,H15:H22)</f>
        <v>0</v>
      </c>
      <c r="I23" s="1164">
        <f t="shared" si="13"/>
        <v>0</v>
      </c>
      <c r="J23" s="1164">
        <f t="shared" si="13"/>
        <v>0</v>
      </c>
      <c r="K23" s="1164">
        <f t="shared" si="13"/>
        <v>0</v>
      </c>
      <c r="L23" s="1164">
        <f t="shared" si="13"/>
        <v>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1913</v>
      </c>
      <c r="X23" s="1164">
        <f t="shared" si="14"/>
        <v>34</v>
      </c>
      <c r="Y23" s="1165">
        <f t="shared" si="14"/>
        <v>1947</v>
      </c>
      <c r="Z23" s="1165">
        <f t="shared" si="14"/>
        <v>0</v>
      </c>
      <c r="AA23" s="1165">
        <f t="shared" si="14"/>
        <v>1570</v>
      </c>
      <c r="AB23" s="1165">
        <f t="shared" si="14"/>
        <v>215</v>
      </c>
      <c r="AC23" s="1165">
        <f t="shared" si="14"/>
        <v>1785</v>
      </c>
      <c r="AD23" s="1165">
        <f t="shared" si="14"/>
        <v>0</v>
      </c>
      <c r="AE23" s="1169">
        <f t="shared" si="14"/>
        <v>0</v>
      </c>
      <c r="AF23" s="1162">
        <f t="shared" si="14"/>
        <v>0</v>
      </c>
      <c r="AG23" s="1170">
        <f t="shared" si="14"/>
        <v>0</v>
      </c>
      <c r="AH23" s="1167">
        <f t="shared" si="14"/>
        <v>0</v>
      </c>
      <c r="AI23" s="1162">
        <f t="shared" si="14"/>
        <v>177</v>
      </c>
      <c r="AJ23" s="1164">
        <f t="shared" si="14"/>
        <v>0</v>
      </c>
      <c r="AK23" s="1167">
        <f t="shared" si="14"/>
        <v>0</v>
      </c>
      <c r="AL23" s="1171">
        <f>IF(ISNUMBER(NºAsuntos!G23/NºAsuntos!E23),NºAsuntos!G23/NºAsuntos!E23," - ")</f>
        <v>1.0887877063175868</v>
      </c>
      <c r="AM23" s="1171">
        <f>IF(ISNUMBER(((NºAsuntos!I23/NºAsuntos!G23)*11)/factor_trimestre),((NºAsuntos!I23/NºAsuntos!G23)*11)/factor_trimestre," - ")</f>
        <v>2.462101411395714</v>
      </c>
      <c r="AN23" s="1172">
        <f>IF(ISNUMBER('Resol  Asuntos'!D23/NºAsuntos!G23),'Resol  Asuntos'!D23/NºAsuntos!G23," - ")</f>
        <v>9.2524830109775219E-2</v>
      </c>
      <c r="AO23" s="1173">
        <f>IF(ISNUMBER((NºAsuntos!C23+NºAsuntos!E23)/NºAsuntos!G23),(NºAsuntos!C23+NºAsuntos!E23)/NºAsuntos!G23," - ")</f>
        <v>1.8097229482488237</v>
      </c>
      <c r="AP23" s="1174" t="str">
        <f t="shared" si="2"/>
        <v xml:space="preserve"> - </v>
      </c>
      <c r="AQ23" s="1174">
        <f>IF(ISNUMBER((H23-W23+K23)/(F23)),(H23-W23+K23)/(F23)," - ")</f>
        <v>-1.271941489361702</v>
      </c>
      <c r="AR23" s="1175">
        <f>IF(ISNUMBER((Datos!P23-Datos!Q23)/(Datos!R23-Datos!P23+Datos!Q23)),(Datos!P23-Datos!Q23)/(Datos!R23-Datos!P23+Datos!Q23)," - ")</f>
        <v>1.4150943396226415E-2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1607</v>
      </c>
      <c r="G31" s="1118">
        <f t="shared" si="20"/>
        <v>1808</v>
      </c>
      <c r="H31" s="1117">
        <f t="shared" si="20"/>
        <v>0</v>
      </c>
      <c r="I31" s="1119">
        <f t="shared" si="20"/>
        <v>0</v>
      </c>
      <c r="J31" s="1119">
        <f t="shared" si="20"/>
        <v>0</v>
      </c>
      <c r="K31" s="1180">
        <f t="shared" si="20"/>
        <v>0</v>
      </c>
      <c r="L31" s="1119">
        <f t="shared" si="20"/>
        <v>405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1926</v>
      </c>
      <c r="X31" s="1118">
        <f t="shared" si="21"/>
        <v>297</v>
      </c>
      <c r="Y31" s="1125">
        <f t="shared" si="21"/>
        <v>2223</v>
      </c>
      <c r="Z31" s="1125">
        <f t="shared" si="21"/>
        <v>0</v>
      </c>
      <c r="AA31" s="1125">
        <f t="shared" si="21"/>
        <v>1675</v>
      </c>
      <c r="AB31" s="1125">
        <f t="shared" si="21"/>
        <v>8006</v>
      </c>
      <c r="AC31" s="1125">
        <f t="shared" si="21"/>
        <v>1958</v>
      </c>
      <c r="AD31" s="1125">
        <f t="shared" si="21"/>
        <v>0</v>
      </c>
      <c r="AE31" s="1127">
        <f t="shared" si="21"/>
        <v>0</v>
      </c>
      <c r="AF31" s="1128">
        <f t="shared" si="21"/>
        <v>0</v>
      </c>
      <c r="AG31" s="1129">
        <f t="shared" si="21"/>
        <v>0</v>
      </c>
      <c r="AH31" s="1127">
        <f t="shared" si="21"/>
        <v>0</v>
      </c>
      <c r="AI31" s="1117">
        <f t="shared" si="21"/>
        <v>477</v>
      </c>
      <c r="AJ31" s="1117">
        <f t="shared" si="21"/>
        <v>0</v>
      </c>
      <c r="AK31" s="1127">
        <f t="shared" si="21"/>
        <v>0</v>
      </c>
      <c r="AL31" s="1183">
        <f>IF(ISNUMBER(NºAsuntos!G31/NºAsuntos!E31),NºAsuntos!G31/NºAsuntos!E31," - ")</f>
        <v>0.96636005256241786</v>
      </c>
      <c r="AM31" s="1184">
        <f>IF(ISNUMBER(((NºAsuntos!I31/NºAsuntos!G31)*11)/factor_trimestre),((NºAsuntos!I31/NºAsuntos!G31)*11)/factor_trimestre," - ")</f>
        <v>6.3810171335327723</v>
      </c>
      <c r="AN31" s="1184">
        <f>IF(ISNUMBER('Resol  Asuntos'!D31/NºAsuntos!G31),'Resol  Asuntos'!D31/NºAsuntos!G31," - ")</f>
        <v>0.12972531955398423</v>
      </c>
      <c r="AO31" s="1185">
        <f>IF(ISNUMBER((NºAsuntos!C31+NºAsuntos!E31)/NºAsuntos!G31),(NºAsuntos!C31+NºAsuntos!E31)/NºAsuntos!G31," - ")</f>
        <v>3.1036170791406037</v>
      </c>
      <c r="AP31" s="1186" t="str">
        <f t="shared" si="2"/>
        <v xml:space="preserve"> - </v>
      </c>
      <c r="AQ31" s="1187">
        <f>IF(OR(ISNUMBER(FIND("01",Criterios!A8,1)),ISNUMBER(FIND("02",Criterios!A8,1)),ISNUMBER(FIND("03",Criterios!A8,1)),ISNUMBER(FIND("04",Criterios!A8,1))),(I31-W31+K31)/(F31-K31),(H31-W31+K31)/(F31-K31))</f>
        <v>-1.1985065339141256</v>
      </c>
      <c r="AR31" s="1188">
        <f>IF(ISNUMBER((Datos!P31-Datos!Q31)/(Datos!R31-Datos!P31+Datos!Q31)),(Datos!P31-Datos!Q31)/(Datos!R31-Datos!P31+Datos!Q31)," - ")</f>
        <v>1.3674347936186377E-2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516.57142857142856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751.48084916827156</v>
      </c>
      <c r="G33" s="277">
        <f>IF(ISNUMBER(STDEV(G8:G30)),STDEV(G8:G30),"-")</f>
        <v>742.61853310719755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893.77247557487374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134.07114316127624</v>
      </c>
      <c r="AJ33" s="276">
        <f t="shared" si="25"/>
        <v>0</v>
      </c>
      <c r="AK33" s="278">
        <f t="shared" si="25"/>
        <v>0</v>
      </c>
      <c r="AL33" s="273">
        <f t="shared" si="25"/>
        <v>0.11411633607861323</v>
      </c>
      <c r="AM33" s="274">
        <f t="shared" si="25"/>
        <v>8.1789237226391709</v>
      </c>
      <c r="AN33" s="274">
        <f t="shared" si="25"/>
        <v>9.8869571777874588E-2</v>
      </c>
      <c r="AO33" s="275">
        <f t="shared" si="25"/>
        <v>2.7279583180371505</v>
      </c>
      <c r="AP33" s="317" t="str">
        <f t="shared" si="25"/>
        <v>-</v>
      </c>
      <c r="AQ33" s="318">
        <f t="shared" si="25"/>
        <v>0.81015196545430157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8yC+RBES2s47X8w4Ce+VOAJyrbx12rrD26QBx4ulKd7At2il6ZzS/XR+qq2c9/5KEibdbwIdXv75CMRqsLt3Q==" saltValue="ujZXDR5plyILKwQs78Pg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MARTORELL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0.56060606060606055</v>
      </c>
      <c r="E10" s="393">
        <f>IF(ISNUMBER((Datos!J10-Datos!T10)/Datos!T10),(Datos!J10-Datos!T10)/Datos!T10," - ")</f>
        <v>-0.11764705882352941</v>
      </c>
      <c r="F10" s="393">
        <f>IF(ISNUMBER((Datos!K10-Datos!U10)/Datos!U10),(Datos!K10-Datos!U10)/Datos!U10," - ")</f>
        <v>0.625</v>
      </c>
      <c r="G10" s="394">
        <f>IF(ISNUMBER((Datos!L10-Datos!V10)/Datos!V10),(Datos!L10-Datos!V10)/Datos!V10," - ")</f>
        <v>0.4</v>
      </c>
      <c r="H10" s="244">
        <f>IF(ISNUMBER((Datos!M10-Datos!W10)/Datos!W10),(Datos!M10-Datos!W10)/Datos!W10," - ")</f>
        <v>-0.2</v>
      </c>
      <c r="I10" s="395">
        <f>IF(ISNUMBER((Tasas!C10-Datos!BE10)/Datos!BE10),(Tasas!C10-Datos!BE10)/Datos!BE10," - ")</f>
        <v>-0.1384615384615385</v>
      </c>
      <c r="J10" s="394">
        <f>IF(ISNUMBER((Tasas!D10-Datos!BF10)/Datos!BF10),(Tasas!D10-Datos!BF10)/Datos!BF10," - ")</f>
        <v>-0.50769230769230766</v>
      </c>
      <c r="K10" s="396">
        <f>IF(ISNUMBER((Tasas!E10-Datos!BG10)/Datos!BG10),(Tasas!E10-Datos!BG10)/Datos!BG10," - ")</f>
        <v>-0.12511584800741429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-0.10574018126888217</v>
      </c>
      <c r="I12" s="395">
        <f>IF(ISNUMBER((Tasas!C12-Datos!BE12)/Datos!BE12),(Tasas!C12-Datos!BE12)/Datos!BE12," - ")</f>
        <v>6.9499130600228914E-3</v>
      </c>
      <c r="J12" s="394">
        <f>IF(ISNUMBER((Tasas!D12-Datos!BF12)/Datos!BF12),(Tasas!D12-Datos!BF12)/Datos!BF12," - ")</f>
        <v>-0.65514563106796109</v>
      </c>
      <c r="K12" s="396">
        <f>IF(ISNUMBER((Tasas!E12-Datos!BG12)/Datos!BG12),(Tasas!E12-Datos!BG12)/Datos!BG12," - ")</f>
        <v>-2.8748377770110123E-3</v>
      </c>
      <c r="M12" t="e">
        <f>IF(Monitorios="SI",Datos!CE12,0)</f>
        <v>#REF!</v>
      </c>
      <c r="N12" t="e">
        <f>IF(Monitorios="SI",Datos!CF12,0)</f>
        <v>#REF!</v>
      </c>
      <c r="O12" t="e">
        <f>IF(Monitorios="SI",Datos!CG12,0)</f>
        <v>#REF!</v>
      </c>
      <c r="P12" t="e">
        <f>IF(Monitorios="SI",Datos!CH12,0)</f>
        <v>#REF!</v>
      </c>
      <c r="Q12">
        <f>IF(J_V="SI",0,Datos!AG12)</f>
        <v>184</v>
      </c>
      <c r="R12">
        <f>IF(J_V="SI",0,Datos!AH12)</f>
        <v>220</v>
      </c>
      <c r="S12">
        <f>IF(J_V="SI",0,Datos!AI12)</f>
        <v>220</v>
      </c>
      <c r="T12">
        <f>IF(J_V="SI",0,Datos!AJ12)</f>
        <v>184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-0.10714285714285714</v>
      </c>
      <c r="I14" s="402">
        <f>IF(ISNUMBER((Tasas!C14-Datos!BE14)/Datos!BE14),(Tasas!C14-Datos!BE14)/Datos!BE14," - ")</f>
        <v>8.0309901738473341E-3</v>
      </c>
      <c r="J14" s="400">
        <f>IF(ISNUMBER((Tasas!D14-Datos!BF14)/Datos!BF14),(Tasas!D14-Datos!BF14)/Datos!BF14," - ")</f>
        <v>-0.65354090354090355</v>
      </c>
      <c r="K14" s="403">
        <f>IF(ISNUMBER((Tasas!E14-Datos!BG14)/Datos!BG14),(Tasas!E14-Datos!BG14)/Datos!BG14," - ")</f>
        <v>-1.9080803052928491E-3</v>
      </c>
      <c r="M14" t="e">
        <f>IF(Monitorios="SI",Datos!CE14,0)</f>
        <v>#REF!</v>
      </c>
      <c r="N14" t="e">
        <f>IF(Monitorios="SI",Datos!CF14,0)</f>
        <v>#REF!</v>
      </c>
      <c r="O14" t="e">
        <f>IF(Monitorios="SI",Datos!CG14,0)</f>
        <v>#REF!</v>
      </c>
      <c r="P14" t="e">
        <f>IF(Monitorios="SI",Datos!CH14,0)</f>
        <v>#REF!</v>
      </c>
      <c r="Q14">
        <f>IF(J_V="SI",0,Datos!AG14)</f>
        <v>184</v>
      </c>
      <c r="R14">
        <f>IF(J_V="SI",0,Datos!AH14)</f>
        <v>220</v>
      </c>
      <c r="S14">
        <f>IF(J_V="SI",0,Datos!AI14)</f>
        <v>220</v>
      </c>
      <c r="T14">
        <f>IF(J_V="SI",0,Datos!AJ14)</f>
        <v>184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2.4879060124395301E-2</v>
      </c>
      <c r="E17" s="393">
        <f>IF(ISNUMBER(
   IF(D_I="SI",(Datos!J17-Datos!T17)/Datos!T17,(Datos!J17+Datos!AD17-(Datos!T17+Datos!AL17))/(Datos!T17+Datos!AL17))
     ),IF(D_I="SI",(Datos!J17-Datos!T17)/Datos!T17,(Datos!J17+Datos!AD17-(Datos!T17+Datos!AL17))/(Datos!T17+Datos!AL17))," - ")</f>
        <v>-6.9570135746606337E-2</v>
      </c>
      <c r="F17" s="393">
        <f>IF(ISNUMBER(
   IF(D_I="SI",(Datos!K17-Datos!U17)/Datos!U17,(Datos!K17+Datos!AE17-(Datos!U17+Datos!AM17))/(Datos!U17+Datos!AM17))
     ),IF(D_I="SI",(Datos!K17-Datos!U17)/Datos!U17,(Datos!K17+Datos!AE17-(Datos!U17+Datos!AM17))/(Datos!U17+Datos!AM17))," - ")</f>
        <v>-2.7700831024930748E-3</v>
      </c>
      <c r="G17" s="394">
        <f>IF(ISNUMBER(
   IF(D_I="SI",(Datos!L17-Datos!V17)/Datos!V17,(Datos!L17+Datos!AF17-(Datos!V17+Datos!AN17))/(Datos!V17+Datos!AN17))
     ),IF(D_I="SI",(Datos!L17-Datos!V17)/Datos!V17,(Datos!L17+Datos!AF17-(Datos!V17+Datos!AN17))/(Datos!V17+Datos!AN17))," - ")</f>
        <v>-5.3997194950911639E-2</v>
      </c>
      <c r="H17" s="244">
        <f>IF(ISNUMBER((Datos!M17-Datos!W17)/Datos!W17),(Datos!M17-Datos!W17)/Datos!W17," - ")</f>
        <v>-1.6853932584269662E-2</v>
      </c>
      <c r="I17" s="395">
        <f>IF(ISNUMBER((Tasas!C17-Datos!BE17)/Datos!BE17),(Tasas!C17-Datos!BE17)/Datos!BE17," - ")</f>
        <v>-5.1369409381330791E-2</v>
      </c>
      <c r="J17" s="394">
        <f>IF(ISNUMBER((Tasas!D17-Datos!BF17)/Datos!BF17),(Tasas!D17-Datos!BF17)/Datos!BF17," - ")</f>
        <v>-1.4122971285892667E-2</v>
      </c>
      <c r="K17" s="396">
        <f>IF(ISNUMBER((Tasas!E17-Datos!BG17)/Datos!BG17),(Tasas!E17-Datos!BG17)/Datos!BG17," - ")</f>
        <v>-2.4358043891480906E-2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0.4050632911392405</v>
      </c>
      <c r="E18" s="393">
        <f>IF(ISNUMBER(
   IF(D_I="SI",(Datos!J18-Datos!T18)/Datos!T18,(Datos!J18+Datos!AD18-(Datos!T18+Datos!AL18))/(Datos!T18+Datos!AL18))
     ),IF(D_I="SI",(Datos!J18-Datos!T18)/Datos!T18,(Datos!J18+Datos!AD18-(Datos!T18+Datos!AL18))/(Datos!T18+Datos!AL18))," - ")</f>
        <v>2.7522935779816515E-2</v>
      </c>
      <c r="F18" s="393">
        <f>IF(ISNUMBER(
   IF(D_I="SI",(Datos!K18-Datos!U18)/Datos!U18,(Datos!K18+Datos!AE18-(Datos!U18+Datos!AM18))/(Datos!U18+Datos!AM18))
     ),IF(D_I="SI",(Datos!K18-Datos!U18)/Datos!U18,(Datos!K18+Datos!AE18-(Datos!U18+Datos!AM18))/(Datos!U18+Datos!AM18))," - ")</f>
        <v>-8.8709677419354843E-2</v>
      </c>
      <c r="G18" s="394">
        <f>IF(ISNUMBER(
   IF(D_I="SI",(Datos!L18-Datos!V18)/Datos!V18,(Datos!L18+Datos!AF18-(Datos!V18+Datos!AN18))/(Datos!V18+Datos!AN18))
     ),IF(D_I="SI",(Datos!L18-Datos!V18)/Datos!V18,(Datos!L18+Datos!AF18-(Datos!V18+Datos!AN18))/(Datos!V18+Datos!AN18))," - ")</f>
        <v>0.54545454545454541</v>
      </c>
      <c r="H18" s="244">
        <f>IF(ISNUMBER((Datos!M18-Datos!W18)/Datos!W18),(Datos!M18-Datos!W18)/Datos!W18," - ")</f>
        <v>-0.33333333333333331</v>
      </c>
      <c r="I18" s="395">
        <f>IF(ISNUMBER((Tasas!C18-Datos!BE18)/Datos!BE18),(Tasas!C18-Datos!BE18)/Datos!BE18," - ")</f>
        <v>0.69589702333065151</v>
      </c>
      <c r="J18" s="394">
        <f>IF(ISNUMBER((Tasas!D18-Datos!BF18)/Datos!BF18),(Tasas!D18-Datos!BF18)/Datos!BF18," - ")</f>
        <v>-0.26843657817109146</v>
      </c>
      <c r="K18" s="396">
        <f>IF(ISNUMBER((Tasas!E18-Datos!BG18)/Datos!BG18),(Tasas!E18-Datos!BG18)/Datos!BG18," - ")</f>
        <v>0.37270889264525542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6.2305295950155763E-2</v>
      </c>
      <c r="E23" s="399">
        <f>IF(ISNUMBER(
   IF(D_I="SI",(Datos!J23-Datos!T23)/Datos!T23,(Datos!J23+Datos!AD23-(Datos!T23+Datos!AL23))/(Datos!T23+Datos!AL23))
     ),IF(D_I="SI",(Datos!J23-Datos!T23)/Datos!T23,(Datos!J23+Datos!AD23-(Datos!T23+Datos!AL23))/(Datos!T23+Datos!AL23))," - ")</f>
        <v>-6.3931806073521572E-2</v>
      </c>
      <c r="F23" s="399">
        <f>IF(ISNUMBER(
   IF(D_I="SI",(Datos!K23-Datos!U23)/Datos!U23,(Datos!K23+Datos!AE23-(Datos!U23+Datos!AM23))/(Datos!U23+Datos!AM23))
     ),IF(D_I="SI",(Datos!K23-Datos!U23)/Datos!U23,(Datos!K23+Datos!AE23-(Datos!U23+Datos!AM23))/(Datos!U23+Datos!AM23))," - ")</f>
        <v>-8.2944530844997408E-3</v>
      </c>
      <c r="G23" s="400">
        <f>IF(ISNUMBER(
   IF(D_I="SI",(Datos!L23-Datos!V23)/Datos!V23,(Datos!L23+Datos!AF23-(Datos!V23+Datos!AN23))/(Datos!V23+Datos!AN23))
     ),IF(D_I="SI",(Datos!L23-Datos!V23)/Datos!V23,(Datos!L23+Datos!AF23-(Datos!V23+Datos!AN23))/(Datos!V23+Datos!AN23))," - ")</f>
        <v>6.3734862970044612E-4</v>
      </c>
      <c r="H23" s="401">
        <f>IF(ISNUMBER((Datos!M23-Datos!W23)/Datos!W23),(Datos!M23-Datos!W23)/Datos!W23," - ")</f>
        <v>-2.2099447513812154E-2</v>
      </c>
      <c r="I23" s="402">
        <f>IF(ISNUMBER((Tasas!C23-Datos!BE23)/Datos!BE23),(Tasas!C23-Datos!BE23)/Datos!BE23," - ")</f>
        <v>9.0065057536289298E-3</v>
      </c>
      <c r="J23" s="400">
        <f>IF(ISNUMBER((Tasas!D23-Datos!BF23)/Datos!BF23),(Tasas!D23-Datos!BF23)/Datos!BF23," - ")</f>
        <v>-1.3920457006870734E-2</v>
      </c>
      <c r="K23" s="403">
        <f>IF(ISNUMBER((Tasas!E23-Datos!BG23)/Datos!BG23),(Tasas!E23-Datos!BG23)/Datos!BG23," - ")</f>
        <v>2.5719607041875692E-3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8.8580423583285633E-2</v>
      </c>
      <c r="E31" s="409">
        <f>IF(ISNUMBER(
   IF(J_V="SI",(Datos!J31-Datos!T31)/Datos!T31,(Datos!J31+Datos!Z31-(Datos!T31+Datos!AH31))/(Datos!T31+Datos!AH31))
     ),IF(J_V="SI",(Datos!J31-Datos!T31)/Datos!T31,(Datos!J31+Datos!Z31-(Datos!T31+Datos!AH31))/(Datos!T31+Datos!AH31))," - ")</f>
        <v>3.706732079585718E-2</v>
      </c>
      <c r="F31" s="409">
        <f>IF(ISNUMBER(
   IF(J_V="SI",(Datos!K31-Datos!U31)/Datos!U31,(Datos!K31+Datos!AA31-(Datos!U31+Datos!AI31))/(Datos!U31+Datos!AI31))
     ),IF(J_V="SI",(Datos!K31-Datos!U31)/Datos!U31,(Datos!K31+Datos!AA31-(Datos!U31+Datos!AI31))/(Datos!U31+Datos!AI31))," - ")</f>
        <v>4.5196134167140418E-2</v>
      </c>
      <c r="G31" s="410">
        <f>IF(ISNUMBER(
   IF(J_V="SI",(Datos!L31-Datos!V31)/Datos!V31,(Datos!L31+Datos!AB31-(Datos!V31+Datos!AJ31))/(Datos!V31+Datos!AJ31))
     ),IF(J_V="SI",(Datos!L31-Datos!V31)/Datos!V31,(Datos!L31+Datos!AB31-(Datos!V31+Datos!AJ31))/(Datos!V31+Datos!AJ31))," - ")</f>
        <v>9.3081761006289301E-2</v>
      </c>
      <c r="H31" s="411">
        <f>IF(ISNUMBER((Datos!M31-Datos!W31)/Datos!W31),(Datos!M31-Datos!W31)/Datos!W31," - ")</f>
        <v>-7.7369439071566737E-2</v>
      </c>
      <c r="I31" s="408">
        <f>IF(ISNUMBER((Tasas!C31-Datos!BE31)/Datos!BE31),(Tasas!C31-Datos!BE31)/Datos!BE31," - ")</f>
        <v>4.5814967424565214E-2</v>
      </c>
      <c r="J31" s="409">
        <f>IF(ISNUMBER((Tasas!D31-Datos!BF31)/Datos!BF31),(Tasas!D31-Datos!BF31)/Datos!BF31," - ")</f>
        <v>-0.52510543788666342</v>
      </c>
      <c r="K31" s="410">
        <f>IF(ISNUMBER((Tasas!E31-Datos!BG31)/Datos!BG31),(Tasas!E31-Datos!BG31)/Datos!BG31," - ")</f>
        <v>2.4540197468015678E-2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0.26187217622051556</v>
      </c>
      <c r="E33" s="303">
        <f t="shared" si="1"/>
        <v>6.0617565764852936E-2</v>
      </c>
      <c r="F33" s="303">
        <f t="shared" si="1"/>
        <v>0.3314640988639162</v>
      </c>
      <c r="G33" s="304">
        <f t="shared" si="1"/>
        <v>0.2952278929784124</v>
      </c>
      <c r="H33" s="310">
        <f t="shared" si="1"/>
        <v>0.11982949523247824</v>
      </c>
      <c r="I33" s="302">
        <f t="shared" si="1"/>
        <v>0.30313392423382463</v>
      </c>
      <c r="J33" s="303">
        <f t="shared" si="1"/>
        <v>0.29749140198413115</v>
      </c>
      <c r="K33" s="304">
        <f t="shared" si="1"/>
        <v>0.17148515438278486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4s7s49Y4x9rSz2ndbYwfii/NwcINQNSomfZHAAFORZ6m3hcNylZRzfIuOW/dcKoUSUGMzikvqsx2ZwDnGhNNg==" saltValue="XNfVYnet85ws7esP4KgWl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